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pijus-my.sharepoint.com/personal/gustavo_diogenes_tjpi_jus_br/Documents/Documentos/Corregedoria/Trabalho Planilha de Custo/Planilhas de Custo Estimado 2022 e 2023/Nova Licitação/Corregedoria/"/>
    </mc:Choice>
  </mc:AlternateContent>
  <xr:revisionPtr revIDLastSave="514" documentId="8_{CE629462-0EBB-4DDE-834C-3A655AE4B85A}" xr6:coauthVersionLast="47" xr6:coauthVersionMax="47" xr10:uidLastSave="{8650D98E-342D-4DD7-9AB9-5B5B195B0893}"/>
  <bookViews>
    <workbookView xWindow="-110" yWindow="-110" windowWidth="19420" windowHeight="10300" tabRatio="500" xr2:uid="{00000000-000D-0000-FFFF-FFFF00000000}"/>
  </bookViews>
  <sheets>
    <sheet name="AUX. GESTÃO SUP2024" sheetId="1" r:id="rId1"/>
    <sheet name="Memoria de Cálculo" sheetId="2" r:id="rId2"/>
  </sheets>
  <definedNames>
    <definedName name="_xlnm.Print_Area" localSheetId="0">'AUX. GESTÃO SUP2024'!$A$1:$H$160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2" l="1"/>
  <c r="C74" i="2"/>
  <c r="L42" i="2"/>
  <c r="B47" i="2" s="1"/>
  <c r="C4" i="1"/>
  <c r="D42" i="2" l="1"/>
  <c r="D44" i="2"/>
  <c r="C72" i="2"/>
  <c r="C100" i="1" s="1"/>
  <c r="D72" i="2"/>
  <c r="C71" i="2"/>
  <c r="C99" i="1" s="1"/>
  <c r="C70" i="2"/>
  <c r="C98" i="1" s="1"/>
  <c r="D71" i="2"/>
  <c r="D70" i="2"/>
  <c r="C69" i="2"/>
  <c r="C97" i="1" s="1"/>
  <c r="D69" i="2"/>
  <c r="C68" i="2"/>
  <c r="C96" i="1" s="1"/>
  <c r="D68" i="2"/>
  <c r="C67" i="2"/>
  <c r="C95" i="1" s="1"/>
  <c r="D67" i="2"/>
  <c r="C44" i="2"/>
  <c r="C42" i="2"/>
  <c r="L68" i="2"/>
  <c r="D9" i="1" a="1"/>
  <c r="D9" i="1" s="1"/>
  <c r="D61" i="1"/>
  <c r="D59" i="1"/>
  <c r="D58" i="1"/>
  <c r="D21" i="1"/>
  <c r="C94" i="1"/>
  <c r="L105" i="2"/>
  <c r="C105" i="2" s="1"/>
  <c r="L106" i="2"/>
  <c r="C106" i="2" s="1"/>
  <c r="G68" i="2" l="1"/>
  <c r="G67" i="2"/>
  <c r="F68" i="2"/>
  <c r="F67" i="2"/>
  <c r="L67" i="2" s="1"/>
  <c r="B77" i="2" s="1"/>
  <c r="H68" i="2"/>
  <c r="I68" i="2"/>
  <c r="B78" i="2" l="1"/>
  <c r="C54" i="2" l="1"/>
  <c r="G71" i="2"/>
  <c r="F71" i="2"/>
  <c r="C26" i="2"/>
  <c r="L71" i="2" l="1"/>
  <c r="B81" i="2" s="1"/>
  <c r="F72" i="2"/>
  <c r="H72" i="2"/>
  <c r="I72" i="2"/>
  <c r="G72" i="2"/>
  <c r="G70" i="2"/>
  <c r="F70" i="2"/>
  <c r="H70" i="2"/>
  <c r="I70" i="2"/>
  <c r="F69" i="2"/>
  <c r="G69" i="2"/>
  <c r="H69" i="2"/>
  <c r="I69" i="2"/>
  <c r="L70" i="2" l="1"/>
  <c r="B80" i="2" s="1"/>
  <c r="L69" i="2"/>
  <c r="B79" i="2" s="1"/>
  <c r="L72" i="2"/>
  <c r="B82" i="2" s="1"/>
  <c r="L94" i="2" l="1"/>
  <c r="K42" i="2"/>
  <c r="J42" i="2"/>
  <c r="L36" i="2"/>
  <c r="C36" i="2" s="1"/>
  <c r="L34" i="2"/>
  <c r="L32" i="2"/>
  <c r="D32" i="2" s="1"/>
  <c r="C132" i="1"/>
  <c r="C65" i="2"/>
  <c r="C93" i="1" s="1"/>
  <c r="C82" i="1"/>
  <c r="C52" i="2"/>
  <c r="C80" i="1" s="1"/>
  <c r="C11" i="2"/>
  <c r="C12" i="2" s="1"/>
  <c r="B146" i="1"/>
  <c r="B144" i="1"/>
  <c r="B143" i="1"/>
  <c r="B142" i="1"/>
  <c r="B141" i="1"/>
  <c r="B140" i="1"/>
  <c r="C134" i="1"/>
  <c r="C133" i="1"/>
  <c r="C130" i="1"/>
  <c r="C129" i="1"/>
  <c r="D123" i="1"/>
  <c r="D144" i="1" s="1"/>
  <c r="D109" i="1"/>
  <c r="D114" i="1" s="1"/>
  <c r="C108" i="1"/>
  <c r="C107" i="1"/>
  <c r="C109" i="1" s="1"/>
  <c r="D62" i="1"/>
  <c r="D60" i="1"/>
  <c r="C53" i="1"/>
  <c r="C52" i="1"/>
  <c r="C51" i="1"/>
  <c r="C50" i="1"/>
  <c r="C49" i="1"/>
  <c r="C48" i="1"/>
  <c r="C47" i="1"/>
  <c r="C46" i="1"/>
  <c r="D19" i="1"/>
  <c r="C43" i="2" l="1"/>
  <c r="C75" i="1" s="1"/>
  <c r="C73" i="2"/>
  <c r="C101" i="1" s="1"/>
  <c r="C102" i="1"/>
  <c r="C76" i="1"/>
  <c r="D57" i="1"/>
  <c r="C34" i="2"/>
  <c r="C39" i="1"/>
  <c r="C53" i="2"/>
  <c r="C81" i="1" s="1"/>
  <c r="C66" i="2"/>
  <c r="D27" i="1"/>
  <c r="C54" i="1"/>
  <c r="C40" i="1"/>
  <c r="C13" i="2"/>
  <c r="C14" i="2" s="1"/>
  <c r="C135" i="1"/>
  <c r="D63" i="1" l="1"/>
  <c r="D69" i="1" s="1"/>
  <c r="D34" i="1"/>
  <c r="C74" i="1"/>
  <c r="C103" i="1"/>
  <c r="C83" i="1"/>
  <c r="C41" i="1"/>
  <c r="C42" i="1" s="1"/>
  <c r="C43" i="1" s="1"/>
  <c r="D43" i="1" l="1"/>
  <c r="D42" i="1"/>
  <c r="D41" i="1"/>
  <c r="D82" i="1"/>
  <c r="D103" i="1"/>
  <c r="D54" i="1"/>
  <c r="D83" i="1"/>
  <c r="D74" i="1"/>
  <c r="D39" i="1"/>
  <c r="D101" i="1"/>
  <c r="D102" i="1"/>
  <c r="D100" i="1"/>
  <c r="D99" i="1"/>
  <c r="D94" i="1"/>
  <c r="D95" i="1"/>
  <c r="D76" i="1"/>
  <c r="D75" i="1"/>
  <c r="D40" i="1"/>
  <c r="D140" i="1"/>
  <c r="D50" i="1"/>
  <c r="D80" i="1"/>
  <c r="D96" i="1"/>
  <c r="D53" i="1"/>
  <c r="D46" i="1"/>
  <c r="D93" i="1"/>
  <c r="D48" i="1"/>
  <c r="D97" i="1"/>
  <c r="D49" i="1"/>
  <c r="D47" i="1"/>
  <c r="D51" i="1"/>
  <c r="D52" i="1"/>
  <c r="D98" i="1"/>
  <c r="D81" i="1"/>
  <c r="C77" i="1"/>
  <c r="D77" i="1" s="1"/>
  <c r="D67" i="1" l="1"/>
  <c r="D87" i="1"/>
  <c r="D68" i="1"/>
  <c r="D113" i="1"/>
  <c r="D115" i="1" s="1"/>
  <c r="D143" i="1" s="1"/>
  <c r="D88" i="1"/>
  <c r="D70" i="1" l="1"/>
  <c r="D141" i="1" s="1"/>
  <c r="D89" i="1"/>
  <c r="D125" i="1" l="1"/>
  <c r="D129" i="1" s="1"/>
  <c r="D130" i="1" s="1"/>
  <c r="D134" i="1" s="1"/>
  <c r="D142" i="1"/>
  <c r="D145" i="1" s="1"/>
  <c r="D132" i="1" l="1"/>
  <c r="D133" i="1"/>
  <c r="D135" i="1" s="1"/>
  <c r="D146" i="1" s="1"/>
  <c r="D147" i="1" s="1"/>
  <c r="C152" i="1" s="1"/>
  <c r="E152" i="1" s="1"/>
  <c r="G152" i="1" s="1"/>
  <c r="G153" i="1" s="1"/>
  <c r="C158" i="1" l="1"/>
  <c r="C159" i="1"/>
  <c r="C160" i="1" s="1"/>
  <c r="B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</author>
  </authors>
  <commentList>
    <comment ref="D4" authorId="0" shapeId="0" xr:uid="{95315214-B514-414B-A58E-D002CFB1C8AC}">
      <text>
        <r>
          <rPr>
            <b/>
            <sz val="9"/>
            <color indexed="81"/>
            <rFont val="Segoe UI"/>
            <family val="2"/>
          </rPr>
          <t>Gustavo:</t>
        </r>
        <r>
          <rPr>
            <sz val="9"/>
            <color indexed="81"/>
            <rFont val="Segoe UI"/>
            <family val="2"/>
          </rPr>
          <t xml:space="preserve">
Tem que modificar para a nova convenção</t>
        </r>
      </text>
    </comment>
    <comment ref="C20" authorId="0" shapeId="0" xr:uid="{A5DC1392-0DB7-48AF-AC37-E7C240EA40ED}">
      <text>
        <r>
          <rPr>
            <b/>
            <sz val="9"/>
            <color indexed="81"/>
            <rFont val="Segoe UI"/>
            <family val="2"/>
          </rPr>
          <t>Gustavo:</t>
        </r>
        <r>
          <rPr>
            <sz val="9"/>
            <color indexed="81"/>
            <rFont val="Segoe UI"/>
            <family val="2"/>
          </rPr>
          <t xml:space="preserve">
Adotar fap neutro de 1
E
CNAE 8211-3/00 -Serviços combinados de escritório e apoio administrativo RAT = 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<sst xmlns="http://schemas.openxmlformats.org/spreadsheetml/2006/main" count="450" uniqueCount="266">
  <si>
    <t xml:space="preserve">Categoria profissional: </t>
  </si>
  <si>
    <t>Discriminação dos Serviços</t>
  </si>
  <si>
    <t>A</t>
  </si>
  <si>
    <t>Data de apresentação da proposta</t>
  </si>
  <si>
    <t>B</t>
  </si>
  <si>
    <t>TERESINA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</si>
  <si>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</si>
  <si>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</si>
  <si>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</si>
  <si>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</si>
  <si>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</si>
  <si>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Serviço:</t>
  </si>
  <si>
    <t xml:space="preserve">Apoio Administrativo </t>
  </si>
  <si>
    <t xml:space="preserve">Unidade de Medida: </t>
  </si>
  <si>
    <t xml:space="preserve">Posto </t>
  </si>
  <si>
    <t>Quantidade total a contratar (em função da unidade de medida):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</si>
  <si>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</si>
  <si>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</si>
  <si>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</si>
  <si>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</si>
  <si>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</si>
  <si>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</si>
  <si>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</si>
  <si>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</si>
  <si>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</si>
  <si>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</si>
  <si>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</si>
  <si>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</si>
  <si>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</si>
  <si>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</si>
  <si>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</si>
  <si>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</si>
  <si>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</si>
  <si>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</si>
  <si>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</si>
  <si>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</si>
  <si>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</si>
  <si>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</si>
  <si>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</si>
  <si>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</si>
  <si>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1"/>
        <rFont val="Arial"/>
        <family val="2"/>
        <charset val="1"/>
      </rPr>
      <t>13 (Décimo-terceiro) salário</t>
    </r>
    <r>
      <rPr>
        <sz val="11"/>
        <color rgb="FFFF0000"/>
        <rFont val="Arial"/>
        <family val="2"/>
        <charset val="1"/>
      </rPr>
      <t xml:space="preserve"> </t>
    </r>
  </si>
  <si>
    <t>Adicional de Férias</t>
  </si>
  <si>
    <t>TOTAL A + B</t>
  </si>
  <si>
    <t>Incidência do Submódulo 2.2 sobre o TOTAL A + B</t>
  </si>
  <si>
    <t>TOTAL SUBMÓDULO 2.1</t>
  </si>
  <si>
    <t>Submódulo 2.2 - GPS, FGTS e Outras Contribuições</t>
  </si>
  <si>
    <t xml:space="preserve">INSS </t>
  </si>
  <si>
    <t xml:space="preserve">Salário Educação </t>
  </si>
  <si>
    <t>SESC ou SESI</t>
  </si>
  <si>
    <t xml:space="preserve">SENAI - SENAC </t>
  </si>
  <si>
    <t xml:space="preserve">SEBRAE 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</si>
  <si>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</si>
  <si>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</si>
  <si>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</si>
  <si>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</si>
  <si>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</si>
  <si>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Transporte - Valor da Passagem R$4,00</t>
  </si>
  <si>
    <t>Auxílio creche</t>
  </si>
  <si>
    <t>Seguro de vida, invalidez e funeral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</si>
  <si>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</si>
  <si>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</si>
  <si>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</si>
  <si>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</si>
  <si>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</si>
  <si>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</si>
  <si>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</si>
  <si>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</si>
  <si>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</si>
  <si>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</si>
  <si>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</si>
  <si>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Submódulo 3.1 - Aviso Prévio Indenizado.</t>
  </si>
  <si>
    <t>Aviso Prévio Indenizado</t>
  </si>
  <si>
    <t>Incidência do FGTS sobre Aviso Prévio Indenizado</t>
  </si>
  <si>
    <t>TOTAL SUBMÓDULO 3.1</t>
  </si>
  <si>
    <t>Submódulo 3.2 - Aviso Prévio Trabalhado</t>
  </si>
  <si>
    <t xml:space="preserve">Aviso Prévio Trabalhado </t>
  </si>
  <si>
    <t>Incidência dos encargos do submódulo 2.2 sobre Aviso Prévio Trabalhado</t>
  </si>
  <si>
    <t>TOTAL SUBMÓDULO 3.2</t>
  </si>
  <si>
    <t>QUADRO-RESUMO DO MÓDULO 3 -  PROVISÃO PARA RESCISÃO</t>
  </si>
  <si>
    <t>MÓDULO 3 -  PROVISÃO PARA RESCISÃO</t>
  </si>
  <si>
    <t>3.1</t>
  </si>
  <si>
    <t>Aviso Prévio Indenizado.</t>
  </si>
  <si>
    <t>3.2</t>
  </si>
  <si>
    <t>Aviso Prévio Trabalhado</t>
  </si>
  <si>
    <t>TOTAL DO MÓDULO 3</t>
  </si>
  <si>
    <t>MÓDULO 4 – CUSTO DE REPOSIÇÃO DO PROFISSIONAL AUSENTE</t>
  </si>
  <si>
    <t>Submódulo 4.1 - Ausências Legais</t>
  </si>
  <si>
    <t xml:space="preserve">Substituto nas Férias </t>
  </si>
  <si>
    <t>Incidência do Submódulo 2.2 sobre Férias</t>
  </si>
  <si>
    <t>Ausência Justificada</t>
  </si>
  <si>
    <t>Ausências Legais</t>
  </si>
  <si>
    <t>Ausência por Doença</t>
  </si>
  <si>
    <t>Licença Paternidade</t>
  </si>
  <si>
    <t>Ausência por Acidente de Trabalho</t>
  </si>
  <si>
    <t>Afastamento Maternidade</t>
  </si>
  <si>
    <t>I</t>
  </si>
  <si>
    <t>TOTAL SUBMÓDULO 4.2</t>
  </si>
  <si>
    <t>Submódulo 4.2 - Intrajornada</t>
  </si>
  <si>
    <t>Intervalo para Repouso ou Alimentação</t>
  </si>
  <si>
    <t>Incidência do Submódulo 2.2 sobre Intervalo para Repouso ou Alimentação</t>
  </si>
  <si>
    <t>QUADRO-RESUMO DO MÓDULO 4 - CUSTO DE REPOSIÇÃO DO PROFISSIONAL AUSENTE</t>
  </si>
  <si>
    <t>Módulo 4 - Custo de Reposição do Profissional Ausente</t>
  </si>
  <si>
    <t>4.1</t>
  </si>
  <si>
    <t>4.2</t>
  </si>
  <si>
    <t>Intrajornada</t>
  </si>
  <si>
    <t>TOTAL DO MÓDULO 4</t>
  </si>
  <si>
    <t>MÓDULO 5 – INSUMOS DIVERSOS</t>
  </si>
  <si>
    <t>INSUMOS DIVERSOS</t>
  </si>
  <si>
    <t xml:space="preserve">Uniformes </t>
  </si>
  <si>
    <t>Materiais</t>
  </si>
  <si>
    <t>Equipamentos</t>
  </si>
  <si>
    <t>TOTAL DO MÓDULO 5</t>
  </si>
  <si>
    <t>SOMA DOS MÓDULOS 1, 2, 3, 4, 5</t>
  </si>
  <si>
    <t>MÓDULO 6 – CUSTOS INDIRETOS, TRIBUTOS E LUCRO</t>
  </si>
  <si>
    <t>CUSTOS INDIRETOS, TRIBUTOS E LUCRO</t>
  </si>
  <si>
    <t>Custos Indiretos</t>
  </si>
  <si>
    <t>Lucro</t>
  </si>
  <si>
    <t>TRIBUTOS</t>
  </si>
  <si>
    <t>C.1. Tributos federais : PIS=1,65% e COFINS=7,60%</t>
  </si>
  <si>
    <t>C.2  Tributos estaduais (especificar)</t>
  </si>
  <si>
    <t>C.3  Tributos municipais  : ISSQN=5,00%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</si>
  <si>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</si>
  <si>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</si>
  <si>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</si>
  <si>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</si>
  <si>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</si>
  <si>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</si>
  <si>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Quadro-Resumo do valor mensal dos serviços</t>
  </si>
  <si>
    <t> Tipo de serviço (A)</t>
  </si>
  <si>
    <t>Valor proposto por empregado
(B)</t>
  </si>
  <si>
    <t>Qtde. de empregados por posto
 (C)</t>
  </si>
  <si>
    <t>Valor proposto por posto
 (D) = (B x C)</t>
  </si>
  <si>
    <t>Qtde. de postos
(E)</t>
  </si>
  <si>
    <t>Valor total do serviço
(F) = (D x E)</t>
  </si>
  <si>
    <t>VALOR MENSAL DOS SERVIÇOS</t>
  </si>
  <si>
    <t>QUADRO DEMONSTRATIVO - VALOR GLOBAL DA PROPOSTA</t>
  </si>
  <si>
    <t>VALOR GLOBAL DA PROPOSTA</t>
  </si>
  <si>
    <t>Descrição</t>
  </si>
  <si>
    <t>Valor (R$)</t>
  </si>
  <si>
    <t>Valor proposto por unidade de medida</t>
  </si>
  <si>
    <t>Valor mensal do serviço</t>
  </si>
  <si>
    <t>Módulo 1: Composição da remuneração Salário Base</t>
  </si>
  <si>
    <t>Estado</t>
  </si>
  <si>
    <t>Piauí</t>
  </si>
  <si>
    <t>Módulo 2: Benefícios mensais e diários</t>
  </si>
  <si>
    <t>Submódulo 2.1 : 13º (décimo terceiro) salário e adicional de férias</t>
  </si>
  <si>
    <t>Item</t>
  </si>
  <si>
    <t>Memória de cálculo</t>
  </si>
  <si>
    <t>Fundamento</t>
  </si>
  <si>
    <t>13º Salário</t>
  </si>
  <si>
    <t>[(1/12)x100]</t>
  </si>
  <si>
    <t>[(1/12)/3x100]</t>
  </si>
  <si>
    <t>Só provisiona o adicional - Art. 7º, inciso XVII da Constituição Federal</t>
  </si>
  <si>
    <t>Total submódulo 2.1</t>
  </si>
  <si>
    <t>Incidência do Submódulo 2.2 sobre o Total do Submódulo 2.1</t>
  </si>
  <si>
    <t>Memória de Cálculo</t>
  </si>
  <si>
    <t>INSS</t>
  </si>
  <si>
    <t>-</t>
  </si>
  <si>
    <t>Salário Educação</t>
  </si>
  <si>
    <t>SENAI - SENAC</t>
  </si>
  <si>
    <t>SEBRAE</t>
  </si>
  <si>
    <t>INCRA</t>
  </si>
  <si>
    <t>FGTS</t>
  </si>
  <si>
    <t>Total dos Encargos do submódulo 2.2</t>
  </si>
  <si>
    <t>Submódulo 2.3 : Encargos Sociais e trabalhistas</t>
  </si>
  <si>
    <t>Transporte</t>
  </si>
  <si>
    <t>Auxílio alimentação (vales, cesta básica, entre outros)</t>
  </si>
  <si>
    <t>Módulo 3: Provisão para rescisão</t>
  </si>
  <si>
    <t>Submódulo 3.1 – Aviso Prévio Indenizado.</t>
  </si>
  <si>
    <t>Súmula n.º 305 do TST</t>
  </si>
  <si>
    <t>Total do Submódulo 3.1</t>
  </si>
  <si>
    <t>Submódulo 3.2 – Aviso Prévio Trabalhado.</t>
  </si>
  <si>
    <t>Total do Submódulo 3.2</t>
  </si>
  <si>
    <t>Módulo 4:  Custo de reposição do profissional ausente</t>
  </si>
  <si>
    <t>Substituto das Férias</t>
  </si>
  <si>
    <t>incisos I, II, IV,VIII,X, XI do art. 473 da CLT</t>
  </si>
  <si>
    <t>Art. 59 a 64 da Lei n.º 8.213/91.</t>
  </si>
  <si>
    <t>Total Submódulo 4.1</t>
  </si>
  <si>
    <t>total submódulo 4.2</t>
  </si>
  <si>
    <t>Módulo 5:  Insumos Diversos</t>
  </si>
  <si>
    <t>Uniformes</t>
  </si>
  <si>
    <t>,</t>
  </si>
  <si>
    <t>Módulo 6 : Custos indiretos, tributos e lucro</t>
  </si>
  <si>
    <t>Tributação</t>
  </si>
  <si>
    <t>Os tributos (ISS, COFINS e PIS) foram definidos utilizando o regime de tributação de Lucro REAL, a licitante deve elaborar sua proposta e, por conseguinte, sua planilha com base no regime de tributação ao qual estará submetido durante a execução do contrato.</t>
  </si>
  <si>
    <t>Em decorrência do ISSQN, a planilha de custo  poderá sofrer revisões  de acordo com a Lei Tributária do Município onde se realizará a prestação de serviço.</t>
  </si>
  <si>
    <t xml:space="preserve">A - Custos Indiretos </t>
  </si>
  <si>
    <t xml:space="preserve">B - Lucro </t>
  </si>
  <si>
    <t>C - Tributos</t>
  </si>
  <si>
    <t>C.2  Tributos estaduais (especificar</t>
  </si>
  <si>
    <t>Cálculo:</t>
  </si>
  <si>
    <t>{[Total (Remuneração + Encargos Sociais + Insumos) + Total (Lucro e despesas indiretas)] / [1-(COFINS + PIS + ISS)]/100]} x Alíquota</t>
  </si>
  <si>
    <t xml:space="preserve">  </t>
  </si>
  <si>
    <t>Nº do Processo</t>
  </si>
  <si>
    <t>Licitação n.º</t>
  </si>
  <si>
    <t>Data: ______/_______/____________ às ______:______ horas</t>
  </si>
  <si>
    <t>Município/UF</t>
  </si>
  <si>
    <t>AUX. DE GESTÃO SUPERIOR</t>
  </si>
  <si>
    <t>TOTAL SUBMÓDULO 4.1</t>
  </si>
  <si>
    <t>Art. 195, I, “a”, CF/88; art. 22, I, Lei 8.212/91</t>
  </si>
  <si>
    <t>Art. 212, § 5º, CF/88; Decreto-Lei 1.422/75; Lei 9.766/98; Art. 1º, § 1º Decreto 6.003/2006, Art. 3º, Inciso I, Decreto n.º 87.043/82.</t>
  </si>
  <si>
    <t>Art. 22, II, Lei 8.212/90, c/c o art. 10, Lei 10.666/2003; art. 202-A do RPS</t>
  </si>
  <si>
    <t>Art. 30, Lei 8.036/90, c/c art. 1º, Lei 8.154/90; Decreto-Lei 2.318/86</t>
  </si>
  <si>
    <t>Decreto-Lei 2.318/86 c/c o art. 1º, Lei 8.154/90</t>
  </si>
  <si>
    <t>Art. 8º, § 3º, Lei n.º 8.029/90 e Lei n.º 8.154/90.</t>
  </si>
  <si>
    <t>Lei 2.613/55; art. 1º, I, Decreto-Lei 1.146/70</t>
  </si>
  <si>
    <t>Art. 7º, III, CF/88 c/c o art. 15, Lei 8.036/90</t>
  </si>
  <si>
    <t>AUXILIAR DE GESTÃO DE NÍVEL SUPERIOR</t>
  </si>
  <si>
    <t xml:space="preserve">Assistência médica e familiar </t>
  </si>
  <si>
    <t>FONTES DE CONSULTAS / VALORES</t>
  </si>
  <si>
    <t>VALOR</t>
  </si>
  <si>
    <t>média dos valores pesquisados</t>
  </si>
  <si>
    <t>Fundamentos</t>
  </si>
  <si>
    <t>Art. 7º, VIII, CF/88; Leis 4.090/62 e 4.749/62;</t>
  </si>
  <si>
    <t xml:space="preserve">Submódulo 2.2 : Encargos Previdenciários (GPS), Fundo de Garantia por Tempo de Serviço (FGTS) e outras contribuições.
</t>
  </si>
  <si>
    <t>Art. 7º, XXI, CF/88; art. 487, § 1º, CLT</t>
  </si>
  <si>
    <t>Art. 7º, XXI, CF/88; arts. 487 e 488, CLT; Lei 12.506/2011</t>
  </si>
  <si>
    <t>Art. 7º, XVII, CF/88; arts. 129-153, CLT</t>
  </si>
  <si>
    <t>Art. 7º, XIX, CF/88 c/c art. 10, § 1º, II,ADCT; art. 473, III,da CLT.</t>
  </si>
  <si>
    <t>Arts. 19-23 e 60, Lei 8.213/91, c/c art. 75, RPS</t>
  </si>
  <si>
    <t>Impacto do item férias sobre a licença maternidade, visto que a licença é paga pelo INSS e não gera custo e reposição, inciso I do art. 1º da Lei nº 11.770, de 9 de setembro de 2008 e art. 7º, XVIII da CF/88 c/c o art. 392 e 392-A da CLT</t>
  </si>
  <si>
    <t>Processo : 23.0.000049682-0
Documento (4252362)
Cargo: Atendente</t>
  </si>
  <si>
    <t>Processo :
23.0.000051296-6
Documento (4273916)
Cargo: Op. de Som</t>
  </si>
  <si>
    <t xml:space="preserve">Processo: 22.0.000090254-7
Documento: (3610060)
Cargo: Aux. de Informática
</t>
  </si>
  <si>
    <t>Processo 22.0.000090254-7
Documento: (3610059)
Cargo: Aux. De Gestão</t>
  </si>
  <si>
    <r>
      <t>Riscos Ambientais do Trabalho RAT X FAP</t>
    </r>
    <r>
      <rPr>
        <b/>
        <vertAlign val="superscript"/>
        <sz val="11"/>
        <color rgb="FF000000"/>
        <rFont val="Times New Roman"/>
        <family val="1"/>
      </rPr>
      <t>1</t>
    </r>
    <r>
      <rPr>
        <b/>
        <sz val="11"/>
        <color rgb="FF000000"/>
        <rFont val="Times New Roman"/>
        <family val="1"/>
        <charset val="1"/>
      </rPr>
      <t>:</t>
    </r>
  </si>
  <si>
    <t>valor na convenção Cláusula nona</t>
  </si>
  <si>
    <t>Art. 18, § 1º, Lei nº 8036/90</t>
  </si>
  <si>
    <t>Cálculo leva em consideração o total dos depósitos de FGTS que seriam feitos - FGTS sobre (salário) + (13º apropriado 1/12) + (ferias apropriada 1/12) + (1/3 de ferias apropriado 1/12) + (salário indenizado apropriado 1/12).</t>
  </si>
  <si>
    <r>
      <t>Aviso Prévio Indenizado</t>
    </r>
    <r>
      <rPr>
        <b/>
        <vertAlign val="superscript"/>
        <sz val="11"/>
        <color rgb="FF000000"/>
        <rFont val="Times New Roman"/>
        <family val="1"/>
      </rPr>
      <t>2</t>
    </r>
  </si>
  <si>
    <r>
      <t>Multa do FGTS sobre o Aviso Prévio Indenizado</t>
    </r>
    <r>
      <rPr>
        <b/>
        <vertAlign val="superscript"/>
        <sz val="11"/>
        <color rgb="FF000000"/>
        <rFont val="Times New Roman"/>
        <family val="1"/>
      </rPr>
      <t>3</t>
    </r>
  </si>
  <si>
    <r>
      <t>Aviso Prévio Trabalhado</t>
    </r>
    <r>
      <rPr>
        <b/>
        <vertAlign val="superscript"/>
        <sz val="11"/>
        <color rgb="FF000000"/>
        <rFont val="Times New Roman"/>
        <family val="1"/>
      </rPr>
      <t>4</t>
    </r>
  </si>
  <si>
    <r>
      <t>Ausências Legais</t>
    </r>
    <r>
      <rPr>
        <b/>
        <vertAlign val="superscript"/>
        <sz val="11"/>
        <color rgb="FF000000"/>
        <rFont val="Times New Roman"/>
        <family val="1"/>
      </rPr>
      <t>7</t>
    </r>
  </si>
  <si>
    <t>Parecer PGFN/CRJ/COJUD nº 1446/2021, aprovado por Despacho do Procurador-Geral da Fazenda Nacional no Processo nº 10951.104018/2020-46</t>
  </si>
  <si>
    <t>J</t>
  </si>
  <si>
    <r>
      <t>Ausência Justificada</t>
    </r>
    <r>
      <rPr>
        <b/>
        <vertAlign val="superscript"/>
        <sz val="11"/>
        <color rgb="FF000000"/>
        <rFont val="Times New Roman"/>
        <family val="1"/>
      </rPr>
      <t>6</t>
    </r>
  </si>
  <si>
    <r>
      <t>Ausência por Doença</t>
    </r>
    <r>
      <rPr>
        <b/>
        <vertAlign val="superscript"/>
        <sz val="11"/>
        <color rgb="FF000000"/>
        <rFont val="Times New Roman"/>
        <family val="1"/>
      </rPr>
      <t>8</t>
    </r>
  </si>
  <si>
    <r>
      <t>Licença Paternidade</t>
    </r>
    <r>
      <rPr>
        <b/>
        <vertAlign val="superscript"/>
        <sz val="11"/>
        <color rgb="FF000000"/>
        <rFont val="Times New Roman"/>
        <family val="1"/>
      </rPr>
      <t>9</t>
    </r>
  </si>
  <si>
    <r>
      <t>Afastamento Maternidade</t>
    </r>
    <r>
      <rPr>
        <b/>
        <vertAlign val="superscript"/>
        <sz val="11"/>
        <color rgb="FF000000"/>
        <rFont val="Times New Roman"/>
        <family val="1"/>
      </rPr>
      <t>10</t>
    </r>
  </si>
  <si>
    <r>
      <t>Ausência por Acidente de Trabalho</t>
    </r>
    <r>
      <rPr>
        <b/>
        <vertAlign val="superscript"/>
        <sz val="11"/>
        <color rgb="FF000000"/>
        <rFont val="Times New Roman"/>
        <family val="1"/>
      </rPr>
      <t>11</t>
    </r>
  </si>
  <si>
    <t>Redução de 7 dias ou de 2h por dia. Percentual relativo a contrato de 12 (doze) meses.</t>
  </si>
  <si>
    <t>Aviso Prévio Trabalhado  x Total do submódulo 2.2</t>
  </si>
  <si>
    <t>90% x{40% x 8% x[1 + 1/12 + (1/12 + 1/3*1/12)] x 100}</t>
  </si>
  <si>
    <t>Multa do FGTS sobre os funcionários  despedidos sem justa por aviso prévio trabalhado, tendo como base de cálculo o FGTS sobre (salário) + (13º apropriado 1/12) + (ferias apropriada 1/12) + (1/3 de ferias apropriado 1/12). Sendo o percentual de incidência de 90% vinculado à  Portaria (Presidência) Nº 781/2022 - PJPI/TJPI/PRESIDENCIA/SECGER, de 05 de abril de 2022</t>
  </si>
  <si>
    <r>
      <t>Multa do FGTS sobre o Aviso Prévio Trabalhado</t>
    </r>
    <r>
      <rPr>
        <b/>
        <vertAlign val="superscript"/>
        <sz val="11"/>
        <color rgb="FF000000"/>
        <rFont val="Times New Roman"/>
        <family val="1"/>
      </rPr>
      <t>5</t>
    </r>
  </si>
  <si>
    <t>8% x Aviso Prévio Indenizado</t>
  </si>
  <si>
    <t>{[(7/30)/12]x100}</t>
  </si>
  <si>
    <t>ESTIMATIVA MÉDIA</t>
  </si>
  <si>
    <t>Convenção</t>
  </si>
  <si>
    <t>Valor Global da Proposta (Valor mensal do serviço multiplicado por 12 meses do contrato)</t>
  </si>
  <si>
    <t>Riscos Ambientais do Trabalho RAT X FAP</t>
  </si>
  <si>
    <t>Percentual de 90% na Portaria (Presidência) Nº 781/2022 - PJPI/TJPI/PRESIDENCIA/SECGER, de 05 de abril de 2022 e Art. 18, § 1º, Lei 8.036/90</t>
  </si>
  <si>
    <t>Incidência do Submódulo 2.2 sobre os itens C, D, E, F,  G do submódulo 4.1</t>
  </si>
  <si>
    <t>Incidência do FGTS sobre o item H do submódulo 4.1</t>
  </si>
  <si>
    <t>O vale transporte foi baseado no preço da passagem, trajeto de ida e volta residência/TJPI com uma integração, do transporte coletivo da respectiva capital do estado do Piauí. E permite uma dedução do valor do vale-transporte de 6% que está de acordo com a Lei n.º 7418/85 com as alterações da Lei n.º 7619/87, reguladas pelo Decreto – Lei n.º 95.247 de 17.11.87 (desconto máximo de 6% do salário-base - Módulo 1 A).
Valor da Tarifa de ônibus acordo com Decreto Municipal de nº 19.414/2020), devendo ainda serem observadas as glosas do parágrafo terceiro da cláusula nona da convenção quando da execução contratual.</t>
  </si>
  <si>
    <t>C – Riscos Ambientais do Trabalho RAT X FAP:
RAT x FAP, em que:
RAT – Varia de acordo coma atividade preponderante aplicação do código CNAE ao Anexo V do Decreto n.º 3.048/1999, de 1% a 3%)
FAP – varia de 0,5 a 2,000, mas adota-se o maior valor possível para o exercício, conforme Decreto n.º 6.957/2009.
Observação: A licitante deve preencher o item "C" das planilhas de composição de custos e formação de preços com o valor de seu FAP, a ser comprovado no envio de sua proposta adequada ao lance vencedor, mediante apresentação do eSocial, DCTFWeb ou outro documento apto a fazê-lo.</t>
  </si>
  <si>
    <t>Auxílio alimentação (vales, cesta básica, entre outros) – CCT 2023.</t>
  </si>
  <si>
    <t>Assistência médica e familiar (40% a cargo do empregador conforme convenção coletiva 2023/2023 registrada no MTE sob o nº PI0000066/2023)</t>
  </si>
  <si>
    <t>Para estimativa de custo foi adotado FAP Neutro de 1 e enquadramento do serviço no CNAE 8211-3/00  (Serviços combinados de escritório e apoio administrativo) , o qual possui RAT = 2%/ conforme o Anexo V do DECRETO Nº 6.957/2009.</t>
  </si>
  <si>
    <t>Multa do FGTS  sobre o Aviso Prévio Indenizado</t>
  </si>
  <si>
    <t xml:space="preserve">Multa do FGTS sobre o Aviso Prévio Trabalhado. </t>
  </si>
  <si>
    <t>Incidência do Submódulo 2.2 sobre os itens C, D, E, F, G do submódulo 4.1</t>
  </si>
  <si>
    <t>PI000048/2024 verificável no link : http://www3.mte.gov.br/sistemas/mediador/Resumo/ResumoVisualizar?NrSolicitacao=MR010882/2024</t>
  </si>
  <si>
    <r>
      <t xml:space="preserve">O valor do auxílio-alimentação foi calculado com base nos valores estabelecidos na Convenção Coletiva da Categoria 2024/2024 registrada no MTE sob o nº  </t>
    </r>
    <r>
      <rPr>
        <b/>
        <sz val="11"/>
        <rFont val="Times New Roman"/>
        <family val="1"/>
        <charset val="1"/>
      </rPr>
      <t>PI000048/2024</t>
    </r>
    <r>
      <rPr>
        <sz val="11"/>
        <rFont val="Times New Roman"/>
        <family val="1"/>
        <charset val="1"/>
      </rPr>
      <t>, cláusula nona, devendo serem observadas as glosas do parágrafo terceiro quando da execução contratual.</t>
    </r>
  </si>
  <si>
    <t>CLÁUSULA DÉCIMA TERCEIRA - DO PLANO DE SAÚDE
40% a cargo do empregador conforme convenção coletiva 2024/2024 registrada no MTE sob o nº PI000048/2024</t>
  </si>
  <si>
    <t>CLÁUSULA DÉCIMA QUARTA - SEGURO (PI000048/2024)
As empresas deverão contratar seguro de vida em grupo, cujo benefício deverá importar no valor correspondente em até 26 (vinte e seis) vezes o valor do menor piso da categoria.
PARÁGRAFO PRIMEIRO - Não haverá custo para o empregado em decorrência do presente Seguro.
PARÁGRAFO SEGUNDO - A empresa não será responsável por inadimplência da Seguradora no pagamento do seguro, salvo se não estiver aquela em dia com a quitação do prêmio correspondente à referida instituição.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</si>
</sst>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0.000%"/>
    <numFmt numFmtId="165" formatCode="&quot;R$ &quot;#,##0.00"/>
    <numFmt numFmtId="166" formatCode="d/m/yyyy"/>
    <numFmt numFmtId="167" formatCode="_(&quot;R$ &quot;* #,##0.00_);_(&quot;R$ &quot;* \(#,##0.00\);_(&quot;R$ &quot;* \-??_);_(@_)"/>
    <numFmt numFmtId="168" formatCode="_-* #,##0.00_-;\-* #,##0.00_-;_-* \-??_-;_-@_-"/>
    <numFmt numFmtId="169" formatCode="0.0"/>
    <numFmt numFmtId="170" formatCode="0.0000%"/>
    <numFmt numFmtId="171" formatCode="0.00000"/>
    <numFmt numFmtId="172" formatCode="0.00000%"/>
    <numFmt numFmtId="173" formatCode="&quot;R$&quot;\ #,##0.00"/>
  </numFmts>
  <fonts count="24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vertAlign val="superscript"/>
      <sz val="11"/>
      <color rgb="FF000000"/>
      <name val="Times New Roman"/>
      <family val="1"/>
      <charset val="1"/>
    </font>
    <font>
      <u/>
      <sz val="11"/>
      <color rgb="FF0000FF"/>
      <name val="Times New Roman"/>
      <family val="1"/>
      <charset val="1"/>
    </font>
    <font>
      <u/>
      <sz val="6"/>
      <color rgb="FF0000FF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vertAlign val="superscript"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charset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AC090"/>
        <bgColor rgb="FFC9C9C9"/>
      </patternFill>
    </fill>
    <fill>
      <patternFill patternType="solid">
        <fgColor rgb="FF8EB4E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9C9C9"/>
      </patternFill>
    </fill>
    <fill>
      <patternFill patternType="solid">
        <fgColor rgb="FF99FF99"/>
        <bgColor rgb="FFCCFFFF"/>
      </patternFill>
    </fill>
    <fill>
      <patternFill patternType="solid">
        <fgColor rgb="FFC9C9C9"/>
        <bgColor rgb="FFC0C0C0"/>
      </patternFill>
    </fill>
    <fill>
      <patternFill patternType="solid">
        <fgColor theme="0"/>
        <bgColor rgb="FFC9C9C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7" fontId="14" fillId="0" borderId="0" applyBorder="0" applyProtection="0"/>
    <xf numFmtId="9" fontId="14" fillId="0" borderId="0" applyBorder="0" applyProtection="0"/>
    <xf numFmtId="0" fontId="13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6" fillId="5" borderId="2" xfId="6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164" fontId="2" fillId="0" borderId="5" xfId="0" applyNumberFormat="1" applyFont="1" applyBorder="1"/>
    <xf numFmtId="166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165" fontId="2" fillId="0" borderId="5" xfId="0" applyNumberFormat="1" applyFont="1" applyBorder="1"/>
    <xf numFmtId="0" fontId="3" fillId="0" borderId="4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165" fontId="2" fillId="0" borderId="3" xfId="0" applyNumberFormat="1" applyFont="1" applyBorder="1"/>
    <xf numFmtId="164" fontId="3" fillId="4" borderId="3" xfId="0" applyNumberFormat="1" applyFont="1" applyFill="1" applyBorder="1"/>
    <xf numFmtId="165" fontId="3" fillId="4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5" borderId="5" xfId="0" applyFont="1" applyFill="1" applyBorder="1" applyAlignment="1">
      <alignment wrapText="1"/>
    </xf>
    <xf numFmtId="165" fontId="2" fillId="4" borderId="3" xfId="0" applyNumberFormat="1" applyFont="1" applyFill="1" applyBorder="1"/>
    <xf numFmtId="0" fontId="3" fillId="5" borderId="5" xfId="0" applyFont="1" applyFill="1" applyBorder="1"/>
    <xf numFmtId="164" fontId="3" fillId="5" borderId="5" xfId="0" applyNumberFormat="1" applyFont="1" applyFill="1" applyBorder="1"/>
    <xf numFmtId="165" fontId="3" fillId="5" borderId="5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Font="1" applyBorder="1" applyProtection="1"/>
    <xf numFmtId="165" fontId="4" fillId="0" borderId="0" xfId="0" applyNumberFormat="1" applyFont="1"/>
    <xf numFmtId="164" fontId="3" fillId="4" borderId="3" xfId="0" applyNumberFormat="1" applyFont="1" applyFill="1" applyBorder="1" applyAlignment="1">
      <alignment horizontal="right"/>
    </xf>
    <xf numFmtId="168" fontId="2" fillId="0" borderId="0" xfId="0" applyNumberFormat="1" applyFont="1"/>
    <xf numFmtId="0" fontId="3" fillId="5" borderId="4" xfId="0" applyFont="1" applyFill="1" applyBorder="1"/>
    <xf numFmtId="0" fontId="3" fillId="0" borderId="3" xfId="0" applyFont="1" applyBorder="1" applyAlignment="1">
      <alignment wrapText="1"/>
    </xf>
    <xf numFmtId="0" fontId="3" fillId="5" borderId="8" xfId="0" applyFont="1" applyFill="1" applyBorder="1"/>
    <xf numFmtId="164" fontId="2" fillId="0" borderId="3" xfId="0" applyNumberFormat="1" applyFont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/>
    <xf numFmtId="165" fontId="3" fillId="0" borderId="3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164" fontId="2" fillId="0" borderId="9" xfId="0" applyNumberFormat="1" applyFont="1" applyBorder="1"/>
    <xf numFmtId="165" fontId="3" fillId="0" borderId="9" xfId="0" applyNumberFormat="1" applyFont="1" applyBorder="1"/>
    <xf numFmtId="0" fontId="3" fillId="5" borderId="10" xfId="0" applyFont="1" applyFill="1" applyBorder="1"/>
    <xf numFmtId="0" fontId="3" fillId="5" borderId="7" xfId="0" applyFont="1" applyFill="1" applyBorder="1" applyAlignment="1">
      <alignment wrapText="1"/>
    </xf>
    <xf numFmtId="164" fontId="3" fillId="5" borderId="7" xfId="0" applyNumberFormat="1" applyFont="1" applyFill="1" applyBorder="1"/>
    <xf numFmtId="165" fontId="3" fillId="5" borderId="7" xfId="0" applyNumberFormat="1" applyFont="1" applyFill="1" applyBorder="1"/>
    <xf numFmtId="165" fontId="2" fillId="0" borderId="3" xfId="0" applyNumberFormat="1" applyFont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6" borderId="4" xfId="0" applyFont="1" applyFill="1" applyBorder="1"/>
    <xf numFmtId="0" fontId="3" fillId="6" borderId="5" xfId="0" applyFont="1" applyFill="1" applyBorder="1" applyAlignment="1">
      <alignment horizontal="right" wrapText="1"/>
    </xf>
    <xf numFmtId="164" fontId="3" fillId="6" borderId="5" xfId="0" applyNumberFormat="1" applyFont="1" applyFill="1" applyBorder="1"/>
    <xf numFmtId="165" fontId="3" fillId="6" borderId="3" xfId="0" applyNumberFormat="1" applyFont="1" applyFill="1" applyBorder="1"/>
    <xf numFmtId="165" fontId="2" fillId="0" borderId="11" xfId="0" applyNumberFormat="1" applyFont="1" applyBorder="1"/>
    <xf numFmtId="164" fontId="3" fillId="0" borderId="5" xfId="0" applyNumberFormat="1" applyFont="1" applyBorder="1"/>
    <xf numFmtId="165" fontId="3" fillId="0" borderId="11" xfId="0" applyNumberFormat="1" applyFont="1" applyBorder="1"/>
    <xf numFmtId="0" fontId="2" fillId="0" borderId="4" xfId="0" applyFont="1" applyBorder="1" applyAlignment="1">
      <alignment vertical="center" wrapText="1"/>
    </xf>
    <xf numFmtId="167" fontId="3" fillId="0" borderId="0" xfId="1" applyFont="1" applyBorder="1" applyProtection="1"/>
    <xf numFmtId="164" fontId="3" fillId="4" borderId="5" xfId="0" applyNumberFormat="1" applyFont="1" applyFill="1" applyBorder="1"/>
    <xf numFmtId="165" fontId="3" fillId="4" borderId="11" xfId="0" applyNumberFormat="1" applyFont="1" applyFill="1" applyBorder="1"/>
    <xf numFmtId="0" fontId="2" fillId="0" borderId="9" xfId="0" applyFont="1" applyBorder="1" applyAlignment="1">
      <alignment wrapText="1"/>
    </xf>
    <xf numFmtId="165" fontId="2" fillId="0" borderId="9" xfId="0" applyNumberFormat="1" applyFont="1" applyBorder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wrapText="1"/>
    </xf>
    <xf numFmtId="2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165" fontId="3" fillId="4" borderId="3" xfId="0" applyNumberFormat="1" applyFont="1" applyFill="1" applyBorder="1" applyAlignment="1">
      <alignment vertical="center"/>
    </xf>
    <xf numFmtId="0" fontId="2" fillId="0" borderId="1" xfId="0" applyFont="1" applyBorder="1"/>
    <xf numFmtId="0" fontId="5" fillId="5" borderId="13" xfId="6" applyFont="1" applyFill="1" applyBorder="1" applyAlignment="1">
      <alignment vertical="center"/>
    </xf>
    <xf numFmtId="4" fontId="6" fillId="5" borderId="2" xfId="6" applyNumberFormat="1" applyFont="1" applyFill="1" applyBorder="1" applyAlignment="1">
      <alignment horizontal="center" vertical="center" wrapText="1"/>
    </xf>
    <xf numFmtId="0" fontId="6" fillId="5" borderId="13" xfId="6" applyFont="1" applyFill="1" applyBorder="1" applyAlignment="1">
      <alignment horizontal="center" vertical="center" wrapText="1"/>
    </xf>
    <xf numFmtId="165" fontId="6" fillId="5" borderId="2" xfId="6" applyNumberFormat="1" applyFont="1" applyFill="1" applyBorder="1" applyAlignment="1">
      <alignment horizontal="center" vertical="center"/>
    </xf>
    <xf numFmtId="0" fontId="6" fillId="5" borderId="0" xfId="6" applyFont="1" applyFill="1" applyAlignment="1">
      <alignment horizontal="right" vertical="center"/>
    </xf>
    <xf numFmtId="0" fontId="6" fillId="5" borderId="0" xfId="6" applyFont="1" applyFill="1" applyAlignment="1">
      <alignment vertical="center"/>
    </xf>
    <xf numFmtId="165" fontId="5" fillId="5" borderId="14" xfId="6" applyNumberFormat="1" applyFont="1" applyFill="1" applyBorder="1" applyAlignment="1">
      <alignment horizontal="center" vertical="center"/>
    </xf>
    <xf numFmtId="165" fontId="2" fillId="0" borderId="16" xfId="0" applyNumberFormat="1" applyFont="1" applyBorder="1"/>
    <xf numFmtId="165" fontId="3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164" fontId="3" fillId="0" borderId="13" xfId="0" applyNumberFormat="1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165" fontId="3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165" fontId="3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9" fontId="3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8" fillId="0" borderId="13" xfId="0" applyFont="1" applyBorder="1" applyAlignment="1">
      <alignment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3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/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8" borderId="2" xfId="0" applyFont="1" applyFill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164" fontId="7" fillId="0" borderId="0" xfId="2" applyNumberFormat="1" applyFont="1" applyBorder="1" applyAlignment="1" applyProtection="1">
      <alignment wrapText="1"/>
    </xf>
    <xf numFmtId="0" fontId="8" fillId="0" borderId="0" xfId="0" applyFont="1" applyAlignment="1">
      <alignment horizontal="right" vertical="center" wrapText="1"/>
    </xf>
    <xf numFmtId="10" fontId="7" fillId="0" borderId="0" xfId="2" applyNumberFormat="1" applyFont="1" applyBorder="1" applyAlignment="1" applyProtection="1">
      <alignment wrapText="1"/>
    </xf>
    <xf numFmtId="0" fontId="8" fillId="0" borderId="1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justify" vertical="center" wrapText="1"/>
    </xf>
    <xf numFmtId="164" fontId="9" fillId="0" borderId="3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0" fontId="12" fillId="0" borderId="0" xfId="3" applyFont="1" applyBorder="1" applyAlignment="1" applyProtection="1">
      <alignment wrapText="1"/>
    </xf>
    <xf numFmtId="0" fontId="10" fillId="5" borderId="16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170" fontId="7" fillId="0" borderId="0" xfId="2" applyNumberFormat="1" applyFont="1" applyBorder="1" applyAlignment="1" applyProtection="1">
      <alignment wrapText="1"/>
    </xf>
    <xf numFmtId="0" fontId="10" fillId="0" borderId="6" xfId="0" applyFont="1" applyBorder="1" applyAlignment="1">
      <alignment wrapText="1"/>
    </xf>
    <xf numFmtId="171" fontId="7" fillId="0" borderId="0" xfId="0" applyNumberFormat="1" applyFont="1" applyAlignment="1">
      <alignment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9" fillId="5" borderId="30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4" fontId="9" fillId="5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2" xfId="0" applyFont="1" applyBorder="1" applyAlignment="1">
      <alignment vertical="center" wrapText="1"/>
    </xf>
    <xf numFmtId="0" fontId="7" fillId="0" borderId="33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7" fillId="0" borderId="34" xfId="0" applyFont="1" applyBorder="1" applyAlignment="1">
      <alignment wrapText="1"/>
    </xf>
    <xf numFmtId="0" fontId="9" fillId="0" borderId="3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7" fillId="0" borderId="27" xfId="0" applyFont="1" applyBorder="1" applyAlignment="1">
      <alignment wrapText="1"/>
    </xf>
    <xf numFmtId="165" fontId="7" fillId="0" borderId="0" xfId="0" applyNumberFormat="1" applyFont="1" applyAlignment="1">
      <alignment wrapText="1"/>
    </xf>
    <xf numFmtId="172" fontId="7" fillId="0" borderId="0" xfId="0" applyNumberFormat="1" applyFont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/>
    </xf>
    <xf numFmtId="165" fontId="15" fillId="4" borderId="3" xfId="0" applyNumberFormat="1" applyFont="1" applyFill="1" applyBorder="1" applyAlignment="1">
      <alignment horizontal="center"/>
    </xf>
    <xf numFmtId="165" fontId="15" fillId="4" borderId="3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5" fontId="16" fillId="5" borderId="2" xfId="0" applyNumberFormat="1" applyFont="1" applyFill="1" applyBorder="1" applyAlignment="1">
      <alignment horizontal="center" vertical="center" wrapText="1"/>
    </xf>
    <xf numFmtId="173" fontId="9" fillId="5" borderId="1" xfId="0" applyNumberFormat="1" applyFont="1" applyFill="1" applyBorder="1" applyAlignment="1">
      <alignment vertical="center" wrapText="1"/>
    </xf>
    <xf numFmtId="173" fontId="9" fillId="0" borderId="1" xfId="0" applyNumberFormat="1" applyFont="1" applyBorder="1" applyAlignment="1">
      <alignment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wrapText="1"/>
    </xf>
    <xf numFmtId="10" fontId="7" fillId="0" borderId="0" xfId="0" applyNumberFormat="1" applyFont="1" applyAlignment="1">
      <alignment wrapText="1"/>
    </xf>
    <xf numFmtId="0" fontId="8" fillId="0" borderId="27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/>
    <xf numFmtId="10" fontId="2" fillId="0" borderId="0" xfId="0" applyNumberFormat="1" applyFont="1"/>
    <xf numFmtId="170" fontId="9" fillId="0" borderId="0" xfId="0" applyNumberFormat="1" applyFont="1" applyAlignment="1">
      <alignment vertical="center" wrapText="1"/>
    </xf>
    <xf numFmtId="4" fontId="7" fillId="0" borderId="3" xfId="0" applyNumberFormat="1" applyFont="1" applyBorder="1" applyAlignment="1">
      <alignment horizontal="left" vertical="center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vertical="top" wrapText="1"/>
    </xf>
    <xf numFmtId="164" fontId="7" fillId="10" borderId="0" xfId="0" applyNumberFormat="1" applyFont="1" applyFill="1" applyAlignment="1">
      <alignment horizontal="center" vertical="center" wrapText="1"/>
    </xf>
    <xf numFmtId="4" fontId="7" fillId="10" borderId="0" xfId="0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23" fillId="0" borderId="0" xfId="0" applyFont="1" applyAlignment="1">
      <alignment wrapText="1"/>
    </xf>
    <xf numFmtId="0" fontId="21" fillId="5" borderId="0" xfId="0" applyFont="1" applyFill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170" fontId="7" fillId="10" borderId="3" xfId="0" applyNumberFormat="1" applyFont="1" applyFill="1" applyBorder="1" applyAlignment="1">
      <alignment horizontal="center" vertical="center" wrapText="1"/>
    </xf>
    <xf numFmtId="170" fontId="7" fillId="0" borderId="3" xfId="0" applyNumberFormat="1" applyFont="1" applyBorder="1" applyAlignment="1">
      <alignment horizontal="center" vertical="center" wrapText="1"/>
    </xf>
    <xf numFmtId="170" fontId="7" fillId="0" borderId="0" xfId="0" applyNumberFormat="1" applyFont="1" applyAlignment="1">
      <alignment wrapText="1"/>
    </xf>
    <xf numFmtId="10" fontId="7" fillId="0" borderId="3" xfId="0" applyNumberFormat="1" applyFont="1" applyBorder="1" applyAlignment="1">
      <alignment horizontal="left" vertical="center" wrapText="1"/>
    </xf>
    <xf numFmtId="165" fontId="6" fillId="5" borderId="13" xfId="6" applyNumberFormat="1" applyFont="1" applyFill="1" applyBorder="1" applyAlignment="1">
      <alignment horizontal="left" vertical="center"/>
    </xf>
    <xf numFmtId="1" fontId="6" fillId="0" borderId="1" xfId="6" applyNumberFormat="1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165" fontId="9" fillId="10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10" borderId="27" xfId="0" applyNumberFormat="1" applyFont="1" applyFill="1" applyBorder="1" applyAlignment="1" applyProtection="1">
      <alignment horizontal="center" vertical="center" wrapText="1"/>
      <protection locked="0"/>
    </xf>
    <xf numFmtId="165" fontId="8" fillId="11" borderId="1" xfId="0" applyNumberFormat="1" applyFont="1" applyFill="1" applyBorder="1" applyAlignment="1" applyProtection="1">
      <alignment vertical="center" wrapText="1"/>
      <protection locked="0"/>
    </xf>
    <xf numFmtId="4" fontId="7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3" xfId="0" applyNumberFormat="1" applyFont="1" applyFill="1" applyBorder="1" applyAlignment="1" applyProtection="1">
      <alignment horizontal="center" vertical="center" wrapText="1"/>
      <protection locked="0"/>
    </xf>
    <xf numFmtId="170" fontId="7" fillId="10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7" fillId="10" borderId="1" xfId="0" applyNumberFormat="1" applyFont="1" applyFill="1" applyBorder="1" applyAlignment="1" applyProtection="1">
      <alignment horizontal="justify" vertical="center" wrapText="1"/>
      <protection locked="0"/>
    </xf>
    <xf numFmtId="165" fontId="2" fillId="0" borderId="16" xfId="0" applyNumberFormat="1" applyFont="1" applyBorder="1" applyProtection="1">
      <protection locked="0"/>
    </xf>
    <xf numFmtId="3" fontId="2" fillId="10" borderId="3" xfId="0" applyNumberFormat="1" applyFont="1" applyFill="1" applyBorder="1" applyAlignment="1" applyProtection="1">
      <alignment horizontal="center"/>
      <protection locked="0"/>
    </xf>
    <xf numFmtId="1" fontId="2" fillId="10" borderId="3" xfId="0" applyNumberFormat="1" applyFont="1" applyFill="1" applyBorder="1" applyAlignment="1" applyProtection="1">
      <alignment horizontal="center"/>
      <protection locked="0"/>
    </xf>
    <xf numFmtId="165" fontId="2" fillId="10" borderId="3" xfId="0" applyNumberFormat="1" applyFont="1" applyFill="1" applyBorder="1" applyAlignment="1" applyProtection="1">
      <alignment horizontal="center"/>
      <protection locked="0"/>
    </xf>
    <xf numFmtId="3" fontId="6" fillId="11" borderId="2" xfId="6" applyNumberFormat="1" applyFont="1" applyFill="1" applyBorder="1" applyAlignment="1" applyProtection="1">
      <alignment horizontal="center" vertical="center"/>
      <protection locked="0"/>
    </xf>
    <xf numFmtId="14" fontId="2" fillId="10" borderId="3" xfId="0" applyNumberFormat="1" applyFont="1" applyFill="1" applyBorder="1" applyAlignment="1" applyProtection="1">
      <alignment horizontal="center"/>
      <protection locked="0"/>
    </xf>
    <xf numFmtId="0" fontId="6" fillId="5" borderId="2" xfId="6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165" fontId="9" fillId="10" borderId="1" xfId="0" applyNumberFormat="1" applyFont="1" applyFill="1" applyBorder="1" applyAlignment="1" applyProtection="1">
      <alignment horizontal="left" vertical="center" wrapText="1"/>
      <protection locked="0"/>
    </xf>
    <xf numFmtId="165" fontId="9" fillId="10" borderId="1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>
      <alignment horizontal="left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left" vertical="center" wrapText="1"/>
    </xf>
    <xf numFmtId="0" fontId="20" fillId="10" borderId="0" xfId="0" applyFont="1" applyFill="1" applyAlignment="1" applyProtection="1">
      <alignment horizontal="left" vertical="top" wrapText="1"/>
      <protection locked="0"/>
    </xf>
  </cellXfs>
  <cellStyles count="8">
    <cellStyle name="Hiperlink" xfId="3" builtinId="8"/>
    <cellStyle name="Moeda" xfId="1" builtinId="4"/>
    <cellStyle name="Normal" xfId="0" builtinId="0"/>
    <cellStyle name="Normal 2" xfId="4" xr:uid="{00000000-0005-0000-0000-000006000000}"/>
    <cellStyle name="Normal 2 2" xfId="5" xr:uid="{00000000-0005-0000-0000-000007000000}"/>
    <cellStyle name="Normal 3" xfId="6" xr:uid="{00000000-0005-0000-0000-000008000000}"/>
    <cellStyle name="Normal 3 2" xfId="7" xr:uid="{00000000-0005-0000-0000-000009000000}"/>
    <cellStyle name="Porcentagem" xfId="2" builtinId="5"/>
  </cellStyles>
  <dxfs count="0"/>
  <tableStyles count="1" defaultTableStyle="TableStyleMedium2" defaultPivotStyle="PivotStyleLight16">
    <tableStyle name="Invisible" pivot="0" table="0" count="0" xr9:uid="{D1B118C4-6625-4A39-AFA6-0906F4DEB27F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8EB4E3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J166"/>
  <sheetViews>
    <sheetView tabSelected="1" view="pageBreakPreview" topLeftCell="A145" zoomScale="90" zoomScaleNormal="90" zoomScalePageLayoutView="90" workbookViewId="0">
      <selection activeCell="D16" sqref="D16"/>
    </sheetView>
  </sheetViews>
  <sheetFormatPr defaultColWidth="9.1796875" defaultRowHeight="14" x14ac:dyDescent="0.3"/>
  <cols>
    <col min="1" max="1" width="4.7265625" style="4" customWidth="1"/>
    <col min="2" max="2" width="65.54296875" style="5" customWidth="1"/>
    <col min="3" max="3" width="18.54296875" style="6" customWidth="1"/>
    <col min="4" max="4" width="30.36328125" style="7" customWidth="1"/>
    <col min="5" max="5" width="29.08984375" style="4" customWidth="1"/>
    <col min="6" max="6" width="18" style="4" customWidth="1"/>
    <col min="7" max="7" width="19.54296875" style="4" customWidth="1"/>
    <col min="8" max="8" width="9.54296875" style="4" customWidth="1"/>
    <col min="9" max="1024" width="9.1796875" style="4"/>
  </cols>
  <sheetData>
    <row r="1" spans="1:5" x14ac:dyDescent="0.3">
      <c r="B1" s="5" t="s">
        <v>193</v>
      </c>
    </row>
    <row r="2" spans="1:5" x14ac:dyDescent="0.3">
      <c r="B2" s="5" t="s">
        <v>194</v>
      </c>
    </row>
    <row r="3" spans="1:5" x14ac:dyDescent="0.3">
      <c r="B3" s="5" t="s">
        <v>195</v>
      </c>
    </row>
    <row r="4" spans="1:5" x14ac:dyDescent="0.3">
      <c r="A4" s="268" t="s">
        <v>0</v>
      </c>
      <c r="B4" s="268"/>
      <c r="C4" s="269" t="str">
        <f>D22</f>
        <v>AUX. DE GESTÃO SUPERIOR</v>
      </c>
      <c r="D4" s="270"/>
    </row>
    <row r="5" spans="1:5" x14ac:dyDescent="0.3">
      <c r="A5" s="8"/>
      <c r="B5" s="9"/>
      <c r="C5" s="10"/>
      <c r="D5" s="11"/>
    </row>
    <row r="6" spans="1:5" x14ac:dyDescent="0.3">
      <c r="A6" s="259" t="s">
        <v>1</v>
      </c>
      <c r="B6" s="259"/>
      <c r="C6" s="259"/>
      <c r="D6" s="259"/>
      <c r="E6" s="5"/>
    </row>
    <row r="7" spans="1:5" x14ac:dyDescent="0.3">
      <c r="A7" s="12" t="s">
        <v>2</v>
      </c>
      <c r="B7" s="13" t="s">
        <v>3</v>
      </c>
      <c r="C7" s="14"/>
      <c r="D7" s="15"/>
      <c r="E7" s="5"/>
    </row>
    <row r="8" spans="1:5" x14ac:dyDescent="0.3">
      <c r="A8" s="12" t="s">
        <v>4</v>
      </c>
      <c r="B8" s="13" t="s">
        <v>196</v>
      </c>
      <c r="C8" s="14"/>
      <c r="D8" s="16" t="s">
        <v>5</v>
      </c>
      <c r="E8" s="5"/>
    </row>
    <row r="9" spans="1:5" x14ac:dyDescent="0.3">
      <c r="A9" s="12" t="s">
        <v>6</v>
      </c>
      <c r="B9" s="13" t="s">
        <v>7</v>
      </c>
      <c r="C9" s="14"/>
      <c r="D9" s="3" t="str" cm="1">
        <f t="array" ref="D9:E9">LEFT('Memoria de Cálculo'!D4:E4,14)</f>
        <v xml:space="preserve">PI000048/2024 </v>
      </c>
      <c r="E9" s="5" t="str">
        <v/>
      </c>
    </row>
    <row r="10" spans="1:5" x14ac:dyDescent="0.3">
      <c r="A10" s="12" t="s">
        <v>8</v>
      </c>
      <c r="B10" s="13" t="s">
        <v>9</v>
      </c>
      <c r="C10" s="14"/>
      <c r="D10" s="250">
        <v>12</v>
      </c>
      <c r="E10" s="5"/>
    </row>
    <row r="11" spans="1:5" x14ac:dyDescent="0.3">
      <c r="A11" s="17"/>
      <c r="B11" s="9"/>
      <c r="C11" s="10"/>
      <c r="D11" s="11"/>
      <c r="E11" s="5"/>
    </row>
    <row r="12" spans="1:5" x14ac:dyDescent="0.3">
      <c r="A12" s="259" t="s">
        <v>10</v>
      </c>
      <c r="B12" s="259"/>
      <c r="C12" s="259"/>
      <c r="D12" s="259"/>
      <c r="E12" s="5"/>
    </row>
    <row r="13" spans="1:5" x14ac:dyDescent="0.3">
      <c r="A13" s="18"/>
      <c r="B13" s="18" t="s">
        <v>11</v>
      </c>
      <c r="C13" s="14"/>
      <c r="D13" s="16" t="s">
        <v>12</v>
      </c>
      <c r="E13" s="5"/>
    </row>
    <row r="14" spans="1:5" x14ac:dyDescent="0.3">
      <c r="A14" s="19"/>
      <c r="B14" s="19" t="s">
        <v>13</v>
      </c>
      <c r="C14" s="20"/>
      <c r="D14" s="16" t="s">
        <v>14</v>
      </c>
      <c r="E14" s="5"/>
    </row>
    <row r="15" spans="1:5" x14ac:dyDescent="0.3">
      <c r="A15" s="19"/>
      <c r="B15" s="19" t="s">
        <v>15</v>
      </c>
      <c r="C15" s="20"/>
      <c r="D15" s="251">
        <v>20</v>
      </c>
      <c r="E15" s="5"/>
    </row>
    <row r="16" spans="1:5" x14ac:dyDescent="0.3">
      <c r="E16" s="5"/>
    </row>
    <row r="17" spans="1:6" x14ac:dyDescent="0.3">
      <c r="A17" s="17"/>
      <c r="B17" s="9"/>
      <c r="C17" s="10"/>
      <c r="D17" s="11"/>
      <c r="E17" s="5"/>
    </row>
    <row r="18" spans="1:6" x14ac:dyDescent="0.3">
      <c r="A18" s="259" t="s">
        <v>16</v>
      </c>
      <c r="B18" s="259"/>
      <c r="C18" s="259"/>
      <c r="D18" s="259"/>
      <c r="E18" s="5"/>
    </row>
    <row r="19" spans="1:6" x14ac:dyDescent="0.3">
      <c r="A19" s="12">
        <v>1</v>
      </c>
      <c r="B19" s="13" t="s">
        <v>17</v>
      </c>
      <c r="C19" s="14"/>
      <c r="D19" s="16" t="str">
        <f>D13</f>
        <v xml:space="preserve">Apoio Administrativo </v>
      </c>
      <c r="E19" s="5"/>
    </row>
    <row r="20" spans="1:6" x14ac:dyDescent="0.3">
      <c r="A20" s="12">
        <v>2</v>
      </c>
      <c r="B20" s="13" t="s">
        <v>18</v>
      </c>
      <c r="C20" s="14"/>
      <c r="D20" s="16" t="s">
        <v>19</v>
      </c>
      <c r="E20" s="5"/>
    </row>
    <row r="21" spans="1:6" x14ac:dyDescent="0.3">
      <c r="A21" s="12">
        <v>3</v>
      </c>
      <c r="B21" s="13" t="s">
        <v>20</v>
      </c>
      <c r="C21" s="14"/>
      <c r="D21" s="16">
        <f>'Memoria de Cálculo'!C4</f>
        <v>3050.62</v>
      </c>
      <c r="E21" s="5"/>
    </row>
    <row r="22" spans="1:6" x14ac:dyDescent="0.3">
      <c r="A22" s="12">
        <v>4</v>
      </c>
      <c r="B22" s="13" t="s">
        <v>21</v>
      </c>
      <c r="C22" s="14"/>
      <c r="D22" s="252" t="s">
        <v>197</v>
      </c>
      <c r="E22" s="5"/>
    </row>
    <row r="23" spans="1:6" x14ac:dyDescent="0.3">
      <c r="A23" s="12">
        <v>5</v>
      </c>
      <c r="B23" s="13" t="s">
        <v>22</v>
      </c>
      <c r="C23" s="14"/>
      <c r="D23" s="254">
        <v>45292</v>
      </c>
      <c r="E23" s="5"/>
    </row>
    <row r="24" spans="1:6" x14ac:dyDescent="0.3">
      <c r="A24" s="21"/>
      <c r="B24" s="22"/>
      <c r="C24" s="14"/>
      <c r="D24" s="23"/>
      <c r="E24" s="5"/>
    </row>
    <row r="25" spans="1:6" x14ac:dyDescent="0.3">
      <c r="A25" s="259" t="s">
        <v>23</v>
      </c>
      <c r="B25" s="259"/>
      <c r="C25" s="259"/>
      <c r="D25" s="259"/>
      <c r="E25" s="5"/>
    </row>
    <row r="26" spans="1:6" x14ac:dyDescent="0.3">
      <c r="A26" s="3">
        <v>1</v>
      </c>
      <c r="B26" s="24" t="s">
        <v>24</v>
      </c>
      <c r="C26" s="25" t="s">
        <v>25</v>
      </c>
      <c r="D26" s="26" t="s">
        <v>26</v>
      </c>
      <c r="E26" s="5"/>
    </row>
    <row r="27" spans="1:6" x14ac:dyDescent="0.3">
      <c r="A27" s="3" t="s">
        <v>2</v>
      </c>
      <c r="B27" s="27" t="s">
        <v>27</v>
      </c>
      <c r="C27" s="28"/>
      <c r="D27" s="29">
        <f>D21</f>
        <v>3050.62</v>
      </c>
      <c r="E27" s="5"/>
      <c r="F27" s="7"/>
    </row>
    <row r="28" spans="1:6" x14ac:dyDescent="0.3">
      <c r="A28" s="3" t="s">
        <v>4</v>
      </c>
      <c r="B28" s="27" t="s">
        <v>28</v>
      </c>
      <c r="C28" s="28"/>
      <c r="D28" s="29"/>
      <c r="E28" s="5"/>
    </row>
    <row r="29" spans="1:6" x14ac:dyDescent="0.3">
      <c r="A29" s="3" t="s">
        <v>6</v>
      </c>
      <c r="B29" s="27" t="s">
        <v>29</v>
      </c>
      <c r="C29" s="28"/>
      <c r="D29" s="29"/>
      <c r="E29" s="5"/>
    </row>
    <row r="30" spans="1:6" x14ac:dyDescent="0.3">
      <c r="A30" s="3" t="s">
        <v>8</v>
      </c>
      <c r="B30" s="27" t="s">
        <v>30</v>
      </c>
      <c r="C30" s="28"/>
      <c r="D30" s="29"/>
      <c r="E30" s="5"/>
    </row>
    <row r="31" spans="1:6" x14ac:dyDescent="0.3">
      <c r="A31" s="3" t="s">
        <v>31</v>
      </c>
      <c r="B31" s="27" t="s">
        <v>32</v>
      </c>
      <c r="C31" s="28"/>
      <c r="D31" s="29"/>
      <c r="E31" s="5"/>
    </row>
    <row r="32" spans="1:6" x14ac:dyDescent="0.3">
      <c r="A32" s="3" t="s">
        <v>33</v>
      </c>
      <c r="B32" s="27" t="s">
        <v>34</v>
      </c>
      <c r="C32" s="28"/>
      <c r="D32" s="29"/>
      <c r="E32" s="5"/>
    </row>
    <row r="33" spans="1:7" x14ac:dyDescent="0.3">
      <c r="A33" s="3" t="s">
        <v>35</v>
      </c>
      <c r="B33" s="27" t="s">
        <v>36</v>
      </c>
      <c r="C33" s="28"/>
      <c r="D33" s="29"/>
      <c r="E33" s="5"/>
    </row>
    <row r="34" spans="1:7" x14ac:dyDescent="0.3">
      <c r="A34" s="263" t="s">
        <v>37</v>
      </c>
      <c r="B34" s="263"/>
      <c r="C34" s="30"/>
      <c r="D34" s="31">
        <f>SUM(D27:D33)</f>
        <v>3050.62</v>
      </c>
      <c r="E34" s="5"/>
    </row>
    <row r="35" spans="1:7" x14ac:dyDescent="0.3">
      <c r="A35" s="32"/>
      <c r="B35" s="33"/>
      <c r="C35" s="34"/>
      <c r="D35" s="35"/>
      <c r="E35" s="5"/>
    </row>
    <row r="36" spans="1:7" x14ac:dyDescent="0.3">
      <c r="A36" s="267" t="s">
        <v>38</v>
      </c>
      <c r="B36" s="267"/>
      <c r="C36" s="267"/>
      <c r="D36" s="267"/>
      <c r="E36" s="5"/>
      <c r="F36" s="7"/>
    </row>
    <row r="37" spans="1:7" ht="7" customHeight="1" x14ac:dyDescent="0.3">
      <c r="A37" s="195"/>
      <c r="B37" s="195"/>
      <c r="C37" s="195"/>
      <c r="E37" s="5"/>
      <c r="F37" s="7"/>
    </row>
    <row r="38" spans="1:7" x14ac:dyDescent="0.3">
      <c r="A38" s="263" t="s">
        <v>39</v>
      </c>
      <c r="B38" s="263"/>
      <c r="C38" s="55" t="s">
        <v>25</v>
      </c>
      <c r="D38" s="196" t="s">
        <v>26</v>
      </c>
      <c r="E38" s="5"/>
    </row>
    <row r="39" spans="1:7" x14ac:dyDescent="0.3">
      <c r="A39" s="36" t="s">
        <v>2</v>
      </c>
      <c r="B39" s="27" t="s">
        <v>40</v>
      </c>
      <c r="C39" s="28">
        <f>'Memoria de Cálculo'!C11</f>
        <v>8.3333333333333329E-2</v>
      </c>
      <c r="D39" s="29">
        <f>C39*$D$34</f>
        <v>254.21833333333331</v>
      </c>
      <c r="E39" s="213"/>
      <c r="F39" s="7"/>
    </row>
    <row r="40" spans="1:7" x14ac:dyDescent="0.3">
      <c r="A40" s="36" t="s">
        <v>4</v>
      </c>
      <c r="B40" s="27" t="s">
        <v>41</v>
      </c>
      <c r="C40" s="28">
        <f>'Memoria de Cálculo'!C12</f>
        <v>2.7777777777777776E-2</v>
      </c>
      <c r="D40" s="29">
        <f>C40*$D$34</f>
        <v>84.73944444444443</v>
      </c>
      <c r="E40" s="5"/>
      <c r="F40" s="7"/>
    </row>
    <row r="41" spans="1:7" x14ac:dyDescent="0.3">
      <c r="A41" s="37"/>
      <c r="B41" s="38" t="s">
        <v>42</v>
      </c>
      <c r="C41" s="39">
        <f>C40+C39</f>
        <v>0.1111111111111111</v>
      </c>
      <c r="D41" s="29">
        <f t="shared" ref="D41:D43" si="0">C41*$D$34</f>
        <v>338.95777777777772</v>
      </c>
      <c r="E41" s="5"/>
    </row>
    <row r="42" spans="1:7" x14ac:dyDescent="0.3">
      <c r="A42" s="36" t="s">
        <v>6</v>
      </c>
      <c r="B42" s="40" t="s">
        <v>43</v>
      </c>
      <c r="C42" s="39">
        <f>C41*C54</f>
        <v>3.977777777777778E-2</v>
      </c>
      <c r="D42" s="29">
        <f t="shared" si="0"/>
        <v>121.34688444444444</v>
      </c>
      <c r="E42" s="5"/>
    </row>
    <row r="43" spans="1:7" x14ac:dyDescent="0.3">
      <c r="A43" s="263" t="s">
        <v>44</v>
      </c>
      <c r="B43" s="263"/>
      <c r="C43" s="30">
        <f>C42+C41</f>
        <v>0.15088888888888888</v>
      </c>
      <c r="D43" s="41">
        <f t="shared" si="0"/>
        <v>460.30466222222219</v>
      </c>
      <c r="E43" s="5"/>
    </row>
    <row r="44" spans="1:7" x14ac:dyDescent="0.3">
      <c r="A44" s="42"/>
      <c r="B44" s="40"/>
      <c r="C44" s="43"/>
      <c r="D44" s="44"/>
      <c r="E44" s="5"/>
    </row>
    <row r="45" spans="1:7" x14ac:dyDescent="0.3">
      <c r="A45" s="263" t="s">
        <v>45</v>
      </c>
      <c r="B45" s="263"/>
      <c r="C45" s="55" t="s">
        <v>25</v>
      </c>
      <c r="D45" s="196" t="s">
        <v>26</v>
      </c>
      <c r="E45" s="5"/>
      <c r="F45" s="45"/>
      <c r="G45" s="46"/>
    </row>
    <row r="46" spans="1:7" x14ac:dyDescent="0.3">
      <c r="A46" s="36" t="s">
        <v>2</v>
      </c>
      <c r="B46" s="27" t="s">
        <v>46</v>
      </c>
      <c r="C46" s="28">
        <f>'Memoria de Cálculo'!C18</f>
        <v>0.2</v>
      </c>
      <c r="D46" s="29">
        <f t="shared" ref="D46:D54" si="1">C46*$D$34</f>
        <v>610.12400000000002</v>
      </c>
      <c r="E46" s="5"/>
      <c r="F46" s="47"/>
      <c r="G46" s="46"/>
    </row>
    <row r="47" spans="1:7" x14ac:dyDescent="0.3">
      <c r="A47" s="36" t="s">
        <v>4</v>
      </c>
      <c r="B47" s="27" t="s">
        <v>47</v>
      </c>
      <c r="C47" s="28">
        <f>'Memoria de Cálculo'!C19</f>
        <v>2.5000000000000001E-2</v>
      </c>
      <c r="D47" s="29">
        <f t="shared" si="1"/>
        <v>76.265500000000003</v>
      </c>
      <c r="E47" s="5"/>
      <c r="F47" s="45"/>
      <c r="G47" s="46"/>
    </row>
    <row r="48" spans="1:7" x14ac:dyDescent="0.3">
      <c r="A48" s="36" t="s">
        <v>6</v>
      </c>
      <c r="B48" s="27" t="s">
        <v>250</v>
      </c>
      <c r="C48" s="28">
        <f>'Memoria de Cálculo'!C20</f>
        <v>0.02</v>
      </c>
      <c r="D48" s="29">
        <f t="shared" si="1"/>
        <v>61.0124</v>
      </c>
      <c r="F48" s="48"/>
      <c r="G48" s="213"/>
    </row>
    <row r="49" spans="1:6" x14ac:dyDescent="0.3">
      <c r="A49" s="36" t="s">
        <v>8</v>
      </c>
      <c r="B49" s="27" t="s">
        <v>48</v>
      </c>
      <c r="C49" s="28">
        <f>'Memoria de Cálculo'!C21</f>
        <v>1.4999999999999999E-2</v>
      </c>
      <c r="D49" s="29">
        <f t="shared" si="1"/>
        <v>45.759299999999996</v>
      </c>
      <c r="E49" s="5"/>
    </row>
    <row r="50" spans="1:6" x14ac:dyDescent="0.3">
      <c r="A50" s="36" t="s">
        <v>31</v>
      </c>
      <c r="B50" s="27" t="s">
        <v>49</v>
      </c>
      <c r="C50" s="28">
        <f>'Memoria de Cálculo'!C22</f>
        <v>0.01</v>
      </c>
      <c r="D50" s="29">
        <f t="shared" si="1"/>
        <v>30.5062</v>
      </c>
      <c r="E50" s="5"/>
    </row>
    <row r="51" spans="1:6" x14ac:dyDescent="0.3">
      <c r="A51" s="36" t="s">
        <v>33</v>
      </c>
      <c r="B51" s="27" t="s">
        <v>50</v>
      </c>
      <c r="C51" s="28">
        <f>'Memoria de Cálculo'!C23</f>
        <v>6.0000000000000001E-3</v>
      </c>
      <c r="D51" s="29">
        <f t="shared" si="1"/>
        <v>18.303719999999998</v>
      </c>
      <c r="E51" s="5"/>
    </row>
    <row r="52" spans="1:6" x14ac:dyDescent="0.3">
      <c r="A52" s="36" t="s">
        <v>35</v>
      </c>
      <c r="B52" s="27" t="s">
        <v>51</v>
      </c>
      <c r="C52" s="28">
        <f>'Memoria de Cálculo'!C24</f>
        <v>2E-3</v>
      </c>
      <c r="D52" s="29">
        <f t="shared" si="1"/>
        <v>6.1012399999999998</v>
      </c>
      <c r="E52" s="5"/>
    </row>
    <row r="53" spans="1:6" x14ac:dyDescent="0.3">
      <c r="A53" s="36" t="s">
        <v>52</v>
      </c>
      <c r="B53" s="27" t="s">
        <v>53</v>
      </c>
      <c r="C53" s="28">
        <f>'Memoria de Cálculo'!C25</f>
        <v>0.08</v>
      </c>
      <c r="D53" s="29">
        <f t="shared" si="1"/>
        <v>244.0496</v>
      </c>
      <c r="E53" s="5"/>
    </row>
    <row r="54" spans="1:6" x14ac:dyDescent="0.3">
      <c r="A54" s="263" t="s">
        <v>54</v>
      </c>
      <c r="B54" s="263"/>
      <c r="C54" s="49">
        <f>SUM(C46:C53)</f>
        <v>0.35800000000000004</v>
      </c>
      <c r="D54" s="31">
        <f t="shared" si="1"/>
        <v>1092.1219600000002</v>
      </c>
      <c r="E54" s="213"/>
      <c r="F54" s="50"/>
    </row>
    <row r="55" spans="1:6" x14ac:dyDescent="0.3">
      <c r="A55" s="51"/>
      <c r="B55" s="40"/>
      <c r="C55" s="43"/>
      <c r="D55" s="44"/>
      <c r="E55" s="5"/>
    </row>
    <row r="56" spans="1:6" x14ac:dyDescent="0.3">
      <c r="A56" s="263" t="s">
        <v>55</v>
      </c>
      <c r="B56" s="263"/>
      <c r="C56" s="55"/>
      <c r="D56" s="196" t="s">
        <v>26</v>
      </c>
      <c r="E56" s="5"/>
    </row>
    <row r="57" spans="1:6" x14ac:dyDescent="0.3">
      <c r="A57" s="36" t="s">
        <v>2</v>
      </c>
      <c r="B57" s="27" t="s">
        <v>56</v>
      </c>
      <c r="C57" s="28"/>
      <c r="D57" s="29">
        <f>'Memoria de Cálculo'!C32</f>
        <v>0</v>
      </c>
      <c r="E57" s="5"/>
    </row>
    <row r="58" spans="1:6" x14ac:dyDescent="0.3">
      <c r="A58" s="36" t="s">
        <v>4</v>
      </c>
      <c r="B58" s="27" t="s">
        <v>256</v>
      </c>
      <c r="C58" s="28"/>
      <c r="D58" s="29">
        <f>'Memoria de Cálculo'!C33</f>
        <v>440.77</v>
      </c>
      <c r="E58" s="5"/>
      <c r="F58" s="7"/>
    </row>
    <row r="59" spans="1:6" ht="42" x14ac:dyDescent="0.3">
      <c r="A59" s="36" t="s">
        <v>6</v>
      </c>
      <c r="B59" s="27" t="s">
        <v>257</v>
      </c>
      <c r="C59" s="28"/>
      <c r="D59" s="29">
        <f>'Memoria de Cálculo'!C34</f>
        <v>49.12</v>
      </c>
      <c r="E59" s="5"/>
    </row>
    <row r="60" spans="1:6" x14ac:dyDescent="0.3">
      <c r="A60" s="36" t="s">
        <v>8</v>
      </c>
      <c r="B60" s="27" t="s">
        <v>57</v>
      </c>
      <c r="C60" s="28"/>
      <c r="D60" s="29">
        <f>'Memoria de Cálculo'!C35</f>
        <v>0</v>
      </c>
      <c r="E60" s="5"/>
    </row>
    <row r="61" spans="1:6" x14ac:dyDescent="0.3">
      <c r="A61" s="36" t="s">
        <v>31</v>
      </c>
      <c r="B61" s="27" t="s">
        <v>58</v>
      </c>
      <c r="C61" s="28"/>
      <c r="D61" s="29">
        <f>'Memoria de Cálculo'!C36</f>
        <v>6.54</v>
      </c>
      <c r="E61" s="5"/>
    </row>
    <row r="62" spans="1:6" x14ac:dyDescent="0.3">
      <c r="A62" s="36" t="s">
        <v>33</v>
      </c>
      <c r="B62" s="27" t="s">
        <v>36</v>
      </c>
      <c r="C62" s="28"/>
      <c r="D62" s="29">
        <f>'Memoria de Cálculo'!C37</f>
        <v>0</v>
      </c>
      <c r="E62" s="5"/>
    </row>
    <row r="63" spans="1:6" x14ac:dyDescent="0.3">
      <c r="A63" s="263" t="s">
        <v>59</v>
      </c>
      <c r="B63" s="263"/>
      <c r="C63" s="30"/>
      <c r="D63" s="31">
        <f>SUM(D57:D62)</f>
        <v>496.43</v>
      </c>
      <c r="E63" s="5"/>
    </row>
    <row r="64" spans="1:6" x14ac:dyDescent="0.3">
      <c r="A64" s="51"/>
      <c r="B64" s="40"/>
      <c r="C64" s="43"/>
      <c r="D64" s="44"/>
      <c r="E64" s="5"/>
    </row>
    <row r="65" spans="1:6" x14ac:dyDescent="0.3">
      <c r="A65" s="259" t="s">
        <v>60</v>
      </c>
      <c r="B65" s="259"/>
      <c r="C65" s="259"/>
      <c r="D65" s="259"/>
      <c r="E65" s="5"/>
    </row>
    <row r="66" spans="1:6" x14ac:dyDescent="0.3">
      <c r="A66" s="37" t="s">
        <v>61</v>
      </c>
      <c r="B66" s="52"/>
      <c r="C66" s="25"/>
      <c r="D66" s="26" t="s">
        <v>26</v>
      </c>
      <c r="E66" s="5"/>
    </row>
    <row r="67" spans="1:6" x14ac:dyDescent="0.3">
      <c r="A67" s="36" t="s">
        <v>62</v>
      </c>
      <c r="B67" s="27" t="s">
        <v>63</v>
      </c>
      <c r="C67" s="28"/>
      <c r="D67" s="29">
        <f>D43</f>
        <v>460.30466222222219</v>
      </c>
      <c r="E67" s="5"/>
    </row>
    <row r="68" spans="1:6" x14ac:dyDescent="0.3">
      <c r="A68" s="36" t="s">
        <v>64</v>
      </c>
      <c r="B68" s="27" t="s">
        <v>65</v>
      </c>
      <c r="C68" s="28"/>
      <c r="D68" s="29">
        <f>D54</f>
        <v>1092.1219600000002</v>
      </c>
      <c r="E68" s="5"/>
    </row>
    <row r="69" spans="1:6" x14ac:dyDescent="0.3">
      <c r="A69" s="36" t="s">
        <v>66</v>
      </c>
      <c r="B69" s="27" t="s">
        <v>67</v>
      </c>
      <c r="C69" s="28"/>
      <c r="D69" s="29">
        <f>D63</f>
        <v>496.43</v>
      </c>
      <c r="E69" s="5"/>
    </row>
    <row r="70" spans="1:6" x14ac:dyDescent="0.3">
      <c r="A70" s="263" t="s">
        <v>68</v>
      </c>
      <c r="B70" s="263"/>
      <c r="C70" s="30"/>
      <c r="D70" s="31">
        <f>SUM(D67:D69)</f>
        <v>2048.8566222222221</v>
      </c>
      <c r="E70" s="5"/>
    </row>
    <row r="71" spans="1:6" x14ac:dyDescent="0.3">
      <c r="A71" s="53"/>
      <c r="B71" s="40"/>
      <c r="C71" s="43"/>
      <c r="D71" s="44"/>
      <c r="E71" s="5"/>
    </row>
    <row r="72" spans="1:6" x14ac:dyDescent="0.3">
      <c r="A72" s="259" t="s">
        <v>69</v>
      </c>
      <c r="B72" s="259"/>
      <c r="C72" s="259"/>
      <c r="D72" s="259"/>
      <c r="E72" s="5"/>
    </row>
    <row r="73" spans="1:6" x14ac:dyDescent="0.3">
      <c r="A73" s="263" t="s">
        <v>70</v>
      </c>
      <c r="B73" s="263"/>
      <c r="C73" s="55" t="s">
        <v>25</v>
      </c>
      <c r="D73" s="196" t="s">
        <v>26</v>
      </c>
      <c r="E73" s="5"/>
    </row>
    <row r="74" spans="1:6" x14ac:dyDescent="0.3">
      <c r="A74" s="36" t="s">
        <v>2</v>
      </c>
      <c r="B74" s="27" t="s">
        <v>71</v>
      </c>
      <c r="C74" s="54">
        <f>'Memoria de Cálculo'!C42</f>
        <v>6.2499999999999995E-3</v>
      </c>
      <c r="D74" s="29">
        <f>C74*$D$34</f>
        <v>19.066374999999997</v>
      </c>
      <c r="E74" s="5"/>
    </row>
    <row r="75" spans="1:6" x14ac:dyDescent="0.3">
      <c r="A75" s="36" t="s">
        <v>4</v>
      </c>
      <c r="B75" s="27" t="s">
        <v>72</v>
      </c>
      <c r="C75" s="54">
        <f>'Memoria de Cálculo'!C43</f>
        <v>5.0000000000000001E-4</v>
      </c>
      <c r="D75" s="29">
        <f>C75*$D$34</f>
        <v>1.5253099999999999</v>
      </c>
      <c r="E75" s="5"/>
    </row>
    <row r="76" spans="1:6" x14ac:dyDescent="0.3">
      <c r="A76" s="36" t="s">
        <v>6</v>
      </c>
      <c r="B76" s="27" t="s">
        <v>259</v>
      </c>
      <c r="C76" s="54">
        <f>'Memoria de Cálculo'!C44</f>
        <v>3.0666666666666663E-3</v>
      </c>
      <c r="D76" s="29">
        <f>C76*$D$34</f>
        <v>9.3552346666666661</v>
      </c>
      <c r="E76" s="5"/>
    </row>
    <row r="77" spans="1:6" x14ac:dyDescent="0.3">
      <c r="A77" s="263" t="s">
        <v>73</v>
      </c>
      <c r="B77" s="263"/>
      <c r="C77" s="55">
        <f>SUM(C74:C76)</f>
        <v>9.8166666666666645E-3</v>
      </c>
      <c r="D77" s="31">
        <f>C77*$D$34</f>
        <v>29.946919666666659</v>
      </c>
      <c r="E77" s="5"/>
      <c r="F77" s="7"/>
    </row>
    <row r="78" spans="1:6" x14ac:dyDescent="0.3">
      <c r="A78" s="56"/>
      <c r="B78" s="22"/>
      <c r="C78" s="57"/>
      <c r="D78" s="23"/>
      <c r="E78" s="5"/>
    </row>
    <row r="79" spans="1:6" x14ac:dyDescent="0.3">
      <c r="A79" s="263" t="s">
        <v>74</v>
      </c>
      <c r="B79" s="263"/>
      <c r="C79" s="55" t="s">
        <v>25</v>
      </c>
      <c r="D79" s="196" t="s">
        <v>26</v>
      </c>
      <c r="E79" s="5"/>
    </row>
    <row r="80" spans="1:6" x14ac:dyDescent="0.3">
      <c r="A80" s="36" t="s">
        <v>2</v>
      </c>
      <c r="B80" s="27" t="s">
        <v>75</v>
      </c>
      <c r="C80" s="54">
        <f>'Memoria de Cálculo'!C52</f>
        <v>1.9444444444444445E-2</v>
      </c>
      <c r="D80" s="29">
        <f>C80*$D$34</f>
        <v>59.317611111111113</v>
      </c>
      <c r="E80" s="5"/>
    </row>
    <row r="81" spans="1:6" ht="28" x14ac:dyDescent="0.3">
      <c r="A81" s="36" t="s">
        <v>4</v>
      </c>
      <c r="B81" s="27" t="s">
        <v>76</v>
      </c>
      <c r="C81" s="54">
        <f>'Memoria de Cálculo'!C53</f>
        <v>6.9611111111111124E-3</v>
      </c>
      <c r="D81" s="29">
        <f>C81*$D$34</f>
        <v>21.23570477777778</v>
      </c>
      <c r="E81" s="5"/>
    </row>
    <row r="82" spans="1:6" x14ac:dyDescent="0.3">
      <c r="A82" s="36" t="s">
        <v>6</v>
      </c>
      <c r="B82" s="27" t="s">
        <v>260</v>
      </c>
      <c r="C82" s="54">
        <f>'Memoria de Cálculo'!C54</f>
        <v>3.4400000000000007E-2</v>
      </c>
      <c r="D82" s="29">
        <f>C82*$D$34</f>
        <v>104.94132800000001</v>
      </c>
      <c r="E82" s="5"/>
    </row>
    <row r="83" spans="1:6" x14ac:dyDescent="0.3">
      <c r="A83" s="263" t="s">
        <v>77</v>
      </c>
      <c r="B83" s="263"/>
      <c r="C83" s="55">
        <f>SUM(C80:C82)</f>
        <v>6.0805555555555564E-2</v>
      </c>
      <c r="D83" s="31">
        <f>C83*$D$34</f>
        <v>185.4946438888889</v>
      </c>
      <c r="E83" s="5"/>
      <c r="F83" s="7"/>
    </row>
    <row r="84" spans="1:6" x14ac:dyDescent="0.3">
      <c r="A84" s="37"/>
      <c r="B84" s="58"/>
      <c r="C84" s="59"/>
      <c r="D84" s="60"/>
      <c r="E84" s="5"/>
    </row>
    <row r="85" spans="1:6" x14ac:dyDescent="0.3">
      <c r="A85" s="259" t="s">
        <v>78</v>
      </c>
      <c r="B85" s="259"/>
      <c r="C85" s="259"/>
      <c r="D85" s="259"/>
      <c r="E85" s="5"/>
    </row>
    <row r="86" spans="1:6" x14ac:dyDescent="0.3">
      <c r="A86" s="266" t="s">
        <v>79</v>
      </c>
      <c r="B86" s="266"/>
      <c r="C86" s="39"/>
      <c r="D86" s="26" t="s">
        <v>26</v>
      </c>
      <c r="E86" s="5"/>
    </row>
    <row r="87" spans="1:6" x14ac:dyDescent="0.3">
      <c r="A87" s="36" t="s">
        <v>80</v>
      </c>
      <c r="B87" s="27" t="s">
        <v>81</v>
      </c>
      <c r="C87" s="28"/>
      <c r="D87" s="29">
        <f>D77</f>
        <v>29.946919666666659</v>
      </c>
      <c r="E87" s="5"/>
    </row>
    <row r="88" spans="1:6" x14ac:dyDescent="0.3">
      <c r="A88" s="36" t="s">
        <v>82</v>
      </c>
      <c r="B88" s="27" t="s">
        <v>83</v>
      </c>
      <c r="C88" s="28"/>
      <c r="D88" s="29">
        <f>D83</f>
        <v>185.4946438888889</v>
      </c>
      <c r="E88" s="5"/>
    </row>
    <row r="89" spans="1:6" x14ac:dyDescent="0.3">
      <c r="A89" s="266" t="s">
        <v>84</v>
      </c>
      <c r="B89" s="266"/>
      <c r="C89" s="39"/>
      <c r="D89" s="61">
        <f>SUM(D87:D88)</f>
        <v>215.44156355555555</v>
      </c>
      <c r="E89" s="5"/>
    </row>
    <row r="90" spans="1:6" x14ac:dyDescent="0.3">
      <c r="A90" s="37"/>
      <c r="B90" s="58"/>
      <c r="C90" s="59"/>
      <c r="D90" s="60"/>
      <c r="E90" s="5"/>
    </row>
    <row r="91" spans="1:6" x14ac:dyDescent="0.3">
      <c r="A91" s="259" t="s">
        <v>85</v>
      </c>
      <c r="B91" s="259"/>
      <c r="C91" s="259"/>
      <c r="D91" s="259"/>
      <c r="E91" s="5"/>
      <c r="F91" s="222"/>
    </row>
    <row r="92" spans="1:6" x14ac:dyDescent="0.3">
      <c r="A92" s="263" t="s">
        <v>86</v>
      </c>
      <c r="B92" s="263"/>
      <c r="C92" s="55" t="s">
        <v>25</v>
      </c>
      <c r="D92" s="196" t="s">
        <v>26</v>
      </c>
      <c r="E92" s="5"/>
    </row>
    <row r="93" spans="1:6" x14ac:dyDescent="0.3">
      <c r="A93" s="3" t="s">
        <v>2</v>
      </c>
      <c r="B93" s="13" t="s">
        <v>87</v>
      </c>
      <c r="C93" s="54">
        <f>'Memoria de Cálculo'!C65</f>
        <v>8.3333333333333329E-2</v>
      </c>
      <c r="D93" s="29">
        <f t="shared" ref="D93:D103" si="2">C93*$D$34</f>
        <v>254.21833333333331</v>
      </c>
      <c r="E93" s="5"/>
    </row>
    <row r="94" spans="1:6" x14ac:dyDescent="0.3">
      <c r="A94" s="3" t="s">
        <v>4</v>
      </c>
      <c r="B94" s="13" t="s">
        <v>88</v>
      </c>
      <c r="C94" s="54">
        <f>'Memoria de Cálculo'!C66</f>
        <v>2.9833333333333337E-2</v>
      </c>
      <c r="D94" s="29">
        <f t="shared" si="2"/>
        <v>91.010163333333338</v>
      </c>
      <c r="E94" s="5"/>
      <c r="F94" s="222"/>
    </row>
    <row r="95" spans="1:6" x14ac:dyDescent="0.3">
      <c r="A95" s="3" t="s">
        <v>6</v>
      </c>
      <c r="B95" s="13" t="s">
        <v>89</v>
      </c>
      <c r="C95" s="54">
        <f>'Memoria de Cálculo'!C67</f>
        <v>2.7777777777777779E-3</v>
      </c>
      <c r="D95" s="29">
        <f t="shared" si="2"/>
        <v>8.4739444444444452</v>
      </c>
      <c r="E95" s="5"/>
    </row>
    <row r="96" spans="1:6" x14ac:dyDescent="0.3">
      <c r="A96" s="3" t="s">
        <v>8</v>
      </c>
      <c r="B96" s="13" t="s">
        <v>90</v>
      </c>
      <c r="C96" s="54">
        <f>'Memoria de Cálculo'!C68</f>
        <v>1.9166666666666666E-3</v>
      </c>
      <c r="D96" s="29">
        <f t="shared" si="2"/>
        <v>5.8470216666666666</v>
      </c>
      <c r="E96" s="5"/>
    </row>
    <row r="97" spans="1:6" x14ac:dyDescent="0.3">
      <c r="A97" s="3" t="s">
        <v>31</v>
      </c>
      <c r="B97" s="13" t="s">
        <v>91</v>
      </c>
      <c r="C97" s="54">
        <f>'Memoria de Cálculo'!C69</f>
        <v>6.8888888888888888E-3</v>
      </c>
      <c r="D97" s="29">
        <f t="shared" si="2"/>
        <v>21.015382222222222</v>
      </c>
      <c r="E97" s="5"/>
    </row>
    <row r="98" spans="1:6" x14ac:dyDescent="0.3">
      <c r="A98" s="3" t="s">
        <v>33</v>
      </c>
      <c r="B98" s="13" t="s">
        <v>92</v>
      </c>
      <c r="C98" s="54">
        <f>'Memoria de Cálculo'!C70</f>
        <v>1.75E-4</v>
      </c>
      <c r="D98" s="29">
        <f t="shared" si="2"/>
        <v>0.53385850000000001</v>
      </c>
      <c r="E98" s="5"/>
      <c r="F98" s="223"/>
    </row>
    <row r="99" spans="1:6" x14ac:dyDescent="0.3">
      <c r="A99" s="36" t="s">
        <v>35</v>
      </c>
      <c r="B99" s="13" t="s">
        <v>94</v>
      </c>
      <c r="C99" s="54">
        <f>'Memoria de Cálculo'!C71</f>
        <v>5.0000000000000001E-4</v>
      </c>
      <c r="D99" s="29">
        <f t="shared" si="2"/>
        <v>1.5253099999999999</v>
      </c>
      <c r="E99" s="5"/>
      <c r="F99" s="223"/>
    </row>
    <row r="100" spans="1:6" x14ac:dyDescent="0.3">
      <c r="A100" s="3" t="s">
        <v>52</v>
      </c>
      <c r="B100" s="13" t="s">
        <v>93</v>
      </c>
      <c r="C100" s="54">
        <f>'Memoria de Cálculo'!C72</f>
        <v>2.9916666666666668E-3</v>
      </c>
      <c r="D100" s="29">
        <f t="shared" si="2"/>
        <v>9.1264381666666665</v>
      </c>
      <c r="E100" s="5"/>
    </row>
    <row r="101" spans="1:6" ht="28" x14ac:dyDescent="0.3">
      <c r="A101" s="36" t="s">
        <v>95</v>
      </c>
      <c r="B101" s="13" t="s">
        <v>261</v>
      </c>
      <c r="C101" s="54">
        <f>'Memoria de Cálculo'!C73</f>
        <v>4.3884833333333343E-3</v>
      </c>
      <c r="D101" s="29">
        <f t="shared" si="2"/>
        <v>13.387595026333337</v>
      </c>
      <c r="E101" s="5"/>
    </row>
    <row r="102" spans="1:6" x14ac:dyDescent="0.3">
      <c r="A102" s="36" t="s">
        <v>234</v>
      </c>
      <c r="B102" s="13" t="s">
        <v>253</v>
      </c>
      <c r="C102" s="54">
        <f>'Memoria de Cálculo'!C74</f>
        <v>2.3933333333333334E-4</v>
      </c>
      <c r="D102" s="29">
        <f t="shared" si="2"/>
        <v>0.73011505333333337</v>
      </c>
      <c r="E102" s="5"/>
    </row>
    <row r="103" spans="1:6" x14ac:dyDescent="0.3">
      <c r="A103" s="263" t="s">
        <v>198</v>
      </c>
      <c r="B103" s="263"/>
      <c r="C103" s="55">
        <f>SUM(C93:C102)</f>
        <v>0.13304448333333332</v>
      </c>
      <c r="D103" s="31">
        <f t="shared" si="2"/>
        <v>405.86816174633327</v>
      </c>
      <c r="E103" s="5"/>
      <c r="F103" s="7"/>
    </row>
    <row r="104" spans="1:6" x14ac:dyDescent="0.3">
      <c r="A104" s="62"/>
      <c r="B104" s="63"/>
      <c r="C104" s="64"/>
      <c r="D104" s="65"/>
      <c r="E104" s="5"/>
    </row>
    <row r="105" spans="1:6" x14ac:dyDescent="0.3">
      <c r="A105" s="66"/>
      <c r="B105" s="67"/>
      <c r="C105" s="68"/>
      <c r="D105" s="69"/>
      <c r="E105" s="5"/>
    </row>
    <row r="106" spans="1:6" x14ac:dyDescent="0.3">
      <c r="A106" s="263" t="s">
        <v>97</v>
      </c>
      <c r="B106" s="263"/>
      <c r="C106" s="55" t="s">
        <v>25</v>
      </c>
      <c r="D106" s="196" t="s">
        <v>26</v>
      </c>
      <c r="E106" s="5"/>
    </row>
    <row r="107" spans="1:6" x14ac:dyDescent="0.3">
      <c r="A107" s="36" t="s">
        <v>2</v>
      </c>
      <c r="B107" s="13" t="s">
        <v>98</v>
      </c>
      <c r="C107" s="54" t="str">
        <f>'Memoria de Cálculo'!C87</f>
        <v>-</v>
      </c>
      <c r="D107" s="70">
        <v>0</v>
      </c>
      <c r="E107" s="5"/>
    </row>
    <row r="108" spans="1:6" ht="28" x14ac:dyDescent="0.3">
      <c r="A108" s="36" t="s">
        <v>4</v>
      </c>
      <c r="B108" s="13" t="s">
        <v>99</v>
      </c>
      <c r="C108" s="54" t="str">
        <f>'Memoria de Cálculo'!C88</f>
        <v>-</v>
      </c>
      <c r="D108" s="29">
        <v>0</v>
      </c>
      <c r="E108" s="5"/>
    </row>
    <row r="109" spans="1:6" x14ac:dyDescent="0.3">
      <c r="A109" s="263" t="s">
        <v>96</v>
      </c>
      <c r="B109" s="263"/>
      <c r="C109" s="55">
        <f>SUM(C107)</f>
        <v>0</v>
      </c>
      <c r="D109" s="197">
        <f>SUM(D107)</f>
        <v>0</v>
      </c>
      <c r="E109" s="5"/>
    </row>
    <row r="110" spans="1:6" x14ac:dyDescent="0.3">
      <c r="A110" s="53"/>
      <c r="B110" s="40"/>
      <c r="C110" s="43"/>
      <c r="D110" s="44"/>
      <c r="E110" s="5"/>
    </row>
    <row r="111" spans="1:6" x14ac:dyDescent="0.3">
      <c r="A111" s="259" t="s">
        <v>100</v>
      </c>
      <c r="B111" s="259"/>
      <c r="C111" s="259"/>
      <c r="D111" s="259"/>
      <c r="E111" s="5"/>
    </row>
    <row r="112" spans="1:6" x14ac:dyDescent="0.3">
      <c r="A112" s="38" t="s">
        <v>101</v>
      </c>
      <c r="B112" s="52"/>
      <c r="C112" s="39"/>
      <c r="D112" s="26" t="s">
        <v>26</v>
      </c>
      <c r="E112" s="5"/>
    </row>
    <row r="113" spans="1:5" x14ac:dyDescent="0.3">
      <c r="A113" s="3" t="s">
        <v>102</v>
      </c>
      <c r="B113" s="27" t="s">
        <v>90</v>
      </c>
      <c r="C113" s="28"/>
      <c r="D113" s="29">
        <f>D103</f>
        <v>405.86816174633327</v>
      </c>
      <c r="E113" s="5"/>
    </row>
    <row r="114" spans="1:5" x14ac:dyDescent="0.3">
      <c r="A114" s="3" t="s">
        <v>103</v>
      </c>
      <c r="B114" s="27" t="s">
        <v>104</v>
      </c>
      <c r="C114" s="28"/>
      <c r="D114" s="29">
        <f>D109</f>
        <v>0</v>
      </c>
      <c r="E114" s="5"/>
    </row>
    <row r="115" spans="1:5" x14ac:dyDescent="0.3">
      <c r="A115" s="263" t="s">
        <v>105</v>
      </c>
      <c r="B115" s="263"/>
      <c r="C115" s="30"/>
      <c r="D115" s="31">
        <f>SUM(D113:D114)</f>
        <v>405.86816174633327</v>
      </c>
      <c r="E115" s="5"/>
    </row>
    <row r="116" spans="1:5" x14ac:dyDescent="0.3">
      <c r="A116" s="53"/>
      <c r="B116" s="40"/>
      <c r="C116" s="43"/>
      <c r="D116" s="44"/>
      <c r="E116" s="5"/>
    </row>
    <row r="117" spans="1:5" x14ac:dyDescent="0.3">
      <c r="A117" s="259" t="s">
        <v>106</v>
      </c>
      <c r="B117" s="259"/>
      <c r="C117" s="259"/>
      <c r="D117" s="259"/>
      <c r="E117" s="5"/>
    </row>
    <row r="118" spans="1:5" ht="15" customHeight="1" x14ac:dyDescent="0.3">
      <c r="A118" s="264" t="s">
        <v>107</v>
      </c>
      <c r="B118" s="264"/>
      <c r="C118" s="25"/>
      <c r="D118" s="26" t="s">
        <v>26</v>
      </c>
      <c r="E118" s="5"/>
    </row>
    <row r="119" spans="1:5" x14ac:dyDescent="0.3">
      <c r="A119" s="3" t="s">
        <v>2</v>
      </c>
      <c r="B119" s="27" t="s">
        <v>108</v>
      </c>
      <c r="C119" s="28"/>
      <c r="D119" s="29"/>
      <c r="E119" s="5"/>
    </row>
    <row r="120" spans="1:5" x14ac:dyDescent="0.3">
      <c r="A120" s="3" t="s">
        <v>4</v>
      </c>
      <c r="B120" s="27" t="s">
        <v>109</v>
      </c>
      <c r="C120" s="28"/>
      <c r="D120" s="29"/>
      <c r="E120" s="5"/>
    </row>
    <row r="121" spans="1:5" x14ac:dyDescent="0.3">
      <c r="A121" s="71" t="s">
        <v>6</v>
      </c>
      <c r="B121" s="27" t="s">
        <v>110</v>
      </c>
      <c r="C121" s="28"/>
      <c r="D121" s="29"/>
      <c r="E121" s="5"/>
    </row>
    <row r="122" spans="1:5" x14ac:dyDescent="0.3">
      <c r="A122" s="71" t="s">
        <v>8</v>
      </c>
      <c r="B122" s="27" t="s">
        <v>36</v>
      </c>
      <c r="C122" s="28"/>
      <c r="D122" s="29"/>
      <c r="E122" s="5"/>
    </row>
    <row r="123" spans="1:5" ht="15" customHeight="1" x14ac:dyDescent="0.3">
      <c r="A123" s="265" t="s">
        <v>111</v>
      </c>
      <c r="B123" s="265"/>
      <c r="C123" s="55"/>
      <c r="D123" s="31">
        <f>SUM(D119:D122)</f>
        <v>0</v>
      </c>
      <c r="E123" s="5"/>
    </row>
    <row r="124" spans="1:5" x14ac:dyDescent="0.3">
      <c r="A124" s="53"/>
      <c r="B124" s="40"/>
      <c r="C124" s="43"/>
      <c r="D124" s="44"/>
      <c r="E124" s="5"/>
    </row>
    <row r="125" spans="1:5" x14ac:dyDescent="0.3">
      <c r="A125" s="72"/>
      <c r="B125" s="73" t="s">
        <v>112</v>
      </c>
      <c r="C125" s="74"/>
      <c r="D125" s="75">
        <f>D123+D115+D89+D70+D34</f>
        <v>5720.7863475241111</v>
      </c>
      <c r="E125" s="5"/>
    </row>
    <row r="126" spans="1:5" x14ac:dyDescent="0.3">
      <c r="A126" s="42"/>
      <c r="B126" s="40"/>
      <c r="C126" s="43"/>
      <c r="D126" s="44"/>
      <c r="E126" s="5"/>
    </row>
    <row r="127" spans="1:5" x14ac:dyDescent="0.3">
      <c r="A127" s="259" t="s">
        <v>113</v>
      </c>
      <c r="B127" s="259"/>
      <c r="C127" s="259"/>
      <c r="D127" s="259"/>
      <c r="E127" s="5"/>
    </row>
    <row r="128" spans="1:5" x14ac:dyDescent="0.3">
      <c r="A128" s="3">
        <v>6</v>
      </c>
      <c r="B128" s="24" t="s">
        <v>114</v>
      </c>
      <c r="C128" s="25" t="s">
        <v>25</v>
      </c>
      <c r="D128" s="26" t="s">
        <v>26</v>
      </c>
      <c r="E128" s="5"/>
    </row>
    <row r="129" spans="1:6" x14ac:dyDescent="0.3">
      <c r="A129" s="3" t="s">
        <v>2</v>
      </c>
      <c r="B129" s="13" t="s">
        <v>115</v>
      </c>
      <c r="C129" s="14">
        <f>'Memoria de Cálculo'!C105</f>
        <v>0.02</v>
      </c>
      <c r="D129" s="76">
        <f>C129*D125</f>
        <v>114.41572695048222</v>
      </c>
      <c r="E129" s="5"/>
    </row>
    <row r="130" spans="1:6" x14ac:dyDescent="0.3">
      <c r="A130" s="3" t="s">
        <v>4</v>
      </c>
      <c r="B130" s="13" t="s">
        <v>116</v>
      </c>
      <c r="C130" s="14">
        <f>'Memoria de Cálculo'!C106</f>
        <v>2.2582999999999999E-2</v>
      </c>
      <c r="D130" s="76">
        <f>(D129+D125)*C130</f>
        <v>131.77636844785974</v>
      </c>
      <c r="E130" s="5"/>
    </row>
    <row r="131" spans="1:6" x14ac:dyDescent="0.3">
      <c r="A131" s="3" t="s">
        <v>6</v>
      </c>
      <c r="B131" s="24" t="s">
        <v>117</v>
      </c>
      <c r="C131" s="77"/>
      <c r="D131" s="78"/>
      <c r="E131" s="5"/>
    </row>
    <row r="132" spans="1:6" x14ac:dyDescent="0.3">
      <c r="A132" s="3"/>
      <c r="B132" s="79" t="s">
        <v>118</v>
      </c>
      <c r="C132" s="14">
        <f>'Memoria de Cálculo'!C108</f>
        <v>9.2499999999999999E-2</v>
      </c>
      <c r="D132" s="76">
        <f>(($D$130+$D$129+$D$125)/(1-SUM($C$132:$C$134))*C132)</f>
        <v>643.66822853682447</v>
      </c>
      <c r="E132" s="5"/>
      <c r="F132" s="80"/>
    </row>
    <row r="133" spans="1:6" x14ac:dyDescent="0.3">
      <c r="A133" s="3"/>
      <c r="B133" s="79" t="s">
        <v>119</v>
      </c>
      <c r="C133" s="14">
        <f>'Memoria de Cálculo'!C109</f>
        <v>0</v>
      </c>
      <c r="D133" s="76">
        <f>(($D$130+$D$129+$D$125)/(1-SUM($C$132:$C$134))*C133)</f>
        <v>0</v>
      </c>
      <c r="E133" s="5"/>
    </row>
    <row r="134" spans="1:6" x14ac:dyDescent="0.3">
      <c r="A134" s="3"/>
      <c r="B134" s="79" t="s">
        <v>120</v>
      </c>
      <c r="C134" s="14">
        <f>'Memoria de Cálculo'!C110</f>
        <v>0.05</v>
      </c>
      <c r="D134" s="76">
        <f>(($D$130+$D$129+$D$125)/(1-SUM($C$132:$C$134))*C134)</f>
        <v>347.92877218206729</v>
      </c>
      <c r="E134" s="5"/>
    </row>
    <row r="135" spans="1:6" x14ac:dyDescent="0.3">
      <c r="A135" s="258" t="s">
        <v>121</v>
      </c>
      <c r="B135" s="258"/>
      <c r="C135" s="81">
        <f>SUM(C129:C134)</f>
        <v>0.185083</v>
      </c>
      <c r="D135" s="82">
        <f>SUM(D129:D134)</f>
        <v>1237.7890961172338</v>
      </c>
      <c r="E135" s="5"/>
    </row>
    <row r="136" spans="1:6" x14ac:dyDescent="0.3">
      <c r="A136" s="17"/>
      <c r="B136" s="83"/>
      <c r="C136" s="64"/>
      <c r="D136" s="84"/>
      <c r="F136" s="80"/>
    </row>
    <row r="137" spans="1:6" x14ac:dyDescent="0.3">
      <c r="A137" s="17"/>
      <c r="B137" s="85"/>
      <c r="C137" s="86"/>
      <c r="D137" s="87"/>
      <c r="F137" s="80"/>
    </row>
    <row r="138" spans="1:6" x14ac:dyDescent="0.3">
      <c r="A138" s="259" t="s">
        <v>122</v>
      </c>
      <c r="B138" s="259"/>
      <c r="C138" s="259"/>
      <c r="D138" s="259"/>
    </row>
    <row r="139" spans="1:6" x14ac:dyDescent="0.3">
      <c r="A139" s="37" t="s">
        <v>123</v>
      </c>
      <c r="B139" s="88"/>
      <c r="C139" s="77"/>
      <c r="D139" s="26" t="s">
        <v>26</v>
      </c>
      <c r="F139" s="89"/>
    </row>
    <row r="140" spans="1:6" x14ac:dyDescent="0.3">
      <c r="A140" s="90" t="s">
        <v>2</v>
      </c>
      <c r="B140" s="79" t="str">
        <f>A25</f>
        <v>MÓDULO 1 - COMPOSIÇÃO DA REMUNERAÇÃO</v>
      </c>
      <c r="C140" s="14"/>
      <c r="D140" s="29">
        <f>D34</f>
        <v>3050.62</v>
      </c>
    </row>
    <row r="141" spans="1:6" ht="28.5" customHeight="1" x14ac:dyDescent="0.3">
      <c r="A141" s="90" t="s">
        <v>4</v>
      </c>
      <c r="B141" s="260" t="str">
        <f>A36</f>
        <v>MÓDULO 2 – ENCARGOS E BENEFÍCIOS ANUAIS, MENSAIS E DIÁRIOS</v>
      </c>
      <c r="C141" s="260"/>
      <c r="D141" s="29">
        <f>D70</f>
        <v>2048.8566222222221</v>
      </c>
    </row>
    <row r="142" spans="1:6" x14ac:dyDescent="0.3">
      <c r="A142" s="90" t="s">
        <v>6</v>
      </c>
      <c r="B142" s="79" t="str">
        <f>A72</f>
        <v>MÓDULO 3 – PROVISÃO PARA RESCISÃO</v>
      </c>
      <c r="C142" s="14"/>
      <c r="D142" s="29">
        <f>D89</f>
        <v>215.44156355555555</v>
      </c>
    </row>
    <row r="143" spans="1:6" ht="33" customHeight="1" x14ac:dyDescent="0.3">
      <c r="A143" s="90" t="s">
        <v>8</v>
      </c>
      <c r="B143" s="79" t="str">
        <f>A91</f>
        <v>MÓDULO 4 – CUSTO DE REPOSIÇÃO DO PROFISSIONAL AUSENTE</v>
      </c>
      <c r="C143" s="14"/>
      <c r="D143" s="29">
        <f>D115</f>
        <v>405.86816174633327</v>
      </c>
    </row>
    <row r="144" spans="1:6" ht="26.25" customHeight="1" x14ac:dyDescent="0.3">
      <c r="A144" s="90" t="s">
        <v>31</v>
      </c>
      <c r="B144" s="79" t="str">
        <f>A117</f>
        <v>MÓDULO 5 – INSUMOS DIVERSOS</v>
      </c>
      <c r="C144" s="14"/>
      <c r="D144" s="29">
        <f>D123</f>
        <v>0</v>
      </c>
    </row>
    <row r="145" spans="1:7" ht="18" customHeight="1" x14ac:dyDescent="0.3">
      <c r="A145" s="3"/>
      <c r="B145" s="24" t="s">
        <v>124</v>
      </c>
      <c r="C145" s="77"/>
      <c r="D145" s="61">
        <f>SUM(D140:D144)</f>
        <v>5720.7863475241111</v>
      </c>
    </row>
    <row r="146" spans="1:7" ht="18" customHeight="1" x14ac:dyDescent="0.3">
      <c r="A146" s="12" t="s">
        <v>33</v>
      </c>
      <c r="B146" s="13" t="str">
        <f>A127</f>
        <v>MÓDULO 6 – CUSTOS INDIRETOS, TRIBUTOS E LUCRO</v>
      </c>
      <c r="C146" s="14"/>
      <c r="D146" s="29">
        <f>D135</f>
        <v>1237.7890961172338</v>
      </c>
    </row>
    <row r="147" spans="1:7" ht="17.25" customHeight="1" x14ac:dyDescent="0.3">
      <c r="A147" s="261" t="s">
        <v>125</v>
      </c>
      <c r="B147" s="261"/>
      <c r="C147" s="261"/>
      <c r="D147" s="91">
        <f>ROUND(D146+D145,2)</f>
        <v>6958.58</v>
      </c>
    </row>
    <row r="148" spans="1:7" ht="13.15" customHeight="1" x14ac:dyDescent="0.3"/>
    <row r="149" spans="1:7" ht="13.15" customHeight="1" x14ac:dyDescent="0.3">
      <c r="A149" s="17"/>
      <c r="B149" s="5" t="s">
        <v>126</v>
      </c>
    </row>
    <row r="150" spans="1:7" ht="20.25" customHeight="1" x14ac:dyDescent="0.3">
      <c r="A150" s="262" t="s">
        <v>127</v>
      </c>
      <c r="B150" s="262"/>
      <c r="C150" s="262"/>
      <c r="D150" s="262"/>
      <c r="E150" s="262"/>
      <c r="F150" s="262"/>
      <c r="G150" s="262"/>
    </row>
    <row r="151" spans="1:7" ht="69" customHeight="1" x14ac:dyDescent="0.3">
      <c r="A151" s="92"/>
      <c r="B151" s="93" t="s">
        <v>128</v>
      </c>
      <c r="C151" s="1" t="s">
        <v>129</v>
      </c>
      <c r="D151" s="94" t="s">
        <v>130</v>
      </c>
      <c r="E151" s="1" t="s">
        <v>131</v>
      </c>
      <c r="F151" s="1" t="s">
        <v>132</v>
      </c>
      <c r="G151" s="95" t="s">
        <v>133</v>
      </c>
    </row>
    <row r="152" spans="1:7" ht="38.25" customHeight="1" x14ac:dyDescent="0.3">
      <c r="A152" s="92"/>
      <c r="B152" s="238" t="str">
        <f>D22</f>
        <v>AUX. DE GESTÃO SUPERIOR</v>
      </c>
      <c r="C152" s="96">
        <f>D147</f>
        <v>6958.58</v>
      </c>
      <c r="D152" s="253">
        <v>1</v>
      </c>
      <c r="E152" s="96">
        <f>C152*D152</f>
        <v>6958.58</v>
      </c>
      <c r="F152" s="239">
        <v>20</v>
      </c>
      <c r="G152" s="96">
        <f>E152*F152</f>
        <v>139171.6</v>
      </c>
    </row>
    <row r="153" spans="1:7" ht="30" customHeight="1" x14ac:dyDescent="0.3">
      <c r="B153" s="97"/>
      <c r="C153" s="98"/>
      <c r="D153" s="255" t="s">
        <v>134</v>
      </c>
      <c r="E153" s="255"/>
      <c r="F153" s="255"/>
      <c r="G153" s="99">
        <f>G152</f>
        <v>139171.6</v>
      </c>
    </row>
    <row r="154" spans="1:7" ht="13.9" customHeight="1" x14ac:dyDescent="0.3"/>
    <row r="155" spans="1:7" ht="15" customHeight="1" x14ac:dyDescent="0.3">
      <c r="A155" s="256" t="s">
        <v>135</v>
      </c>
      <c r="B155" s="256"/>
      <c r="C155" s="256"/>
      <c r="D155" s="100"/>
    </row>
    <row r="156" spans="1:7" ht="15" customHeight="1" x14ac:dyDescent="0.3">
      <c r="A156" s="257" t="s">
        <v>136</v>
      </c>
      <c r="B156" s="257"/>
      <c r="C156" s="257"/>
      <c r="D156" s="101"/>
    </row>
    <row r="157" spans="1:7" ht="20.149999999999999" customHeight="1" x14ac:dyDescent="0.3">
      <c r="A157" s="102"/>
      <c r="B157" s="103" t="s">
        <v>137</v>
      </c>
      <c r="C157" s="104" t="s">
        <v>138</v>
      </c>
      <c r="D157" s="101"/>
    </row>
    <row r="158" spans="1:7" ht="20.25" customHeight="1" x14ac:dyDescent="0.3">
      <c r="A158" s="105" t="s">
        <v>2</v>
      </c>
      <c r="B158" s="106" t="s">
        <v>139</v>
      </c>
      <c r="C158" s="107">
        <f>E152</f>
        <v>6958.58</v>
      </c>
      <c r="D158" s="100"/>
    </row>
    <row r="159" spans="1:7" ht="21" customHeight="1" x14ac:dyDescent="0.3">
      <c r="A159" s="108" t="s">
        <v>4</v>
      </c>
      <c r="B159" s="2" t="s">
        <v>140</v>
      </c>
      <c r="C159" s="109">
        <f>G152</f>
        <v>139171.6</v>
      </c>
      <c r="D159" s="249"/>
    </row>
    <row r="160" spans="1:7" ht="27.75" customHeight="1" x14ac:dyDescent="0.3">
      <c r="A160" s="110" t="s">
        <v>6</v>
      </c>
      <c r="B160" s="111" t="s">
        <v>249</v>
      </c>
      <c r="C160" s="112">
        <f>C159*12</f>
        <v>1670059.2000000002</v>
      </c>
      <c r="D160" s="100"/>
    </row>
    <row r="161" spans="1:3" ht="13.15" customHeight="1" x14ac:dyDescent="0.3">
      <c r="A161" s="17"/>
    </row>
    <row r="162" spans="1:3" ht="19.149999999999999" customHeight="1" x14ac:dyDescent="0.3">
      <c r="B162" s="113"/>
      <c r="C162" s="114"/>
    </row>
    <row r="165" spans="1:3" x14ac:dyDescent="0.3">
      <c r="A165" s="50"/>
    </row>
    <row r="166" spans="1:3" x14ac:dyDescent="0.3">
      <c r="A166" s="50"/>
    </row>
  </sheetData>
  <mergeCells count="43">
    <mergeCell ref="A4:B4"/>
    <mergeCell ref="C4:D4"/>
    <mergeCell ref="A6:D6"/>
    <mergeCell ref="A12:D12"/>
    <mergeCell ref="A18:D18"/>
    <mergeCell ref="A25:D25"/>
    <mergeCell ref="A34:B34"/>
    <mergeCell ref="A36:D36"/>
    <mergeCell ref="A38:B38"/>
    <mergeCell ref="A43:B43"/>
    <mergeCell ref="A45:B45"/>
    <mergeCell ref="A54:B54"/>
    <mergeCell ref="A56:B56"/>
    <mergeCell ref="A63:B63"/>
    <mergeCell ref="A65:D65"/>
    <mergeCell ref="A70:B70"/>
    <mergeCell ref="A72:D72"/>
    <mergeCell ref="A73:B73"/>
    <mergeCell ref="A77:B77"/>
    <mergeCell ref="A79:B79"/>
    <mergeCell ref="A83:B83"/>
    <mergeCell ref="A85:D85"/>
    <mergeCell ref="A86:B86"/>
    <mergeCell ref="A89:B89"/>
    <mergeCell ref="A91:D91"/>
    <mergeCell ref="A92:B92"/>
    <mergeCell ref="A103:B103"/>
    <mergeCell ref="A106:B106"/>
    <mergeCell ref="A109:B109"/>
    <mergeCell ref="A111:D111"/>
    <mergeCell ref="A115:B115"/>
    <mergeCell ref="A117:D117"/>
    <mergeCell ref="A118:B118"/>
    <mergeCell ref="A123:B123"/>
    <mergeCell ref="A127:D127"/>
    <mergeCell ref="D153:F153"/>
    <mergeCell ref="A155:C155"/>
    <mergeCell ref="A156:C156"/>
    <mergeCell ref="A135:B135"/>
    <mergeCell ref="A138:D138"/>
    <mergeCell ref="B141:C141"/>
    <mergeCell ref="A147:C147"/>
    <mergeCell ref="A150:G150"/>
  </mergeCells>
  <pageMargins left="0.39374999999999999" right="0.196527777777778" top="0.59027777777777801" bottom="0.39374999999999999" header="0.511811023622047" footer="0.511811023622047"/>
  <pageSetup paperSize="9" scale="50" fitToHeight="0" orientation="portrait" r:id="rId1"/>
  <rowBreaks count="2" manualBreakCount="2">
    <brk id="84" max="7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H134"/>
  <sheetViews>
    <sheetView topLeftCell="A104" zoomScale="90" zoomScaleNormal="90" zoomScaleSheetLayoutView="80" workbookViewId="0">
      <selection activeCell="E36" sqref="E36"/>
    </sheetView>
  </sheetViews>
  <sheetFormatPr defaultColWidth="9.1796875" defaultRowHeight="14" x14ac:dyDescent="0.3"/>
  <cols>
    <col min="1" max="1" width="4" style="115" customWidth="1"/>
    <col min="2" max="2" width="59.7265625" style="115" customWidth="1"/>
    <col min="3" max="3" width="19.08984375" style="115" customWidth="1"/>
    <col min="4" max="4" width="38.6328125" style="115" customWidth="1"/>
    <col min="5" max="5" width="43.54296875" style="115" customWidth="1"/>
    <col min="6" max="6" width="15.453125" style="115" customWidth="1"/>
    <col min="7" max="7" width="14.6328125" style="115" customWidth="1"/>
    <col min="8" max="9" width="13.7265625" style="115" customWidth="1"/>
    <col min="10" max="11" width="13.7265625" style="115" hidden="1" customWidth="1"/>
    <col min="12" max="12" width="44.36328125" style="115" customWidth="1"/>
    <col min="13" max="13" width="5.54296875" style="115" customWidth="1"/>
    <col min="14" max="14" width="11.36328125" style="115" customWidth="1"/>
    <col min="15" max="1022" width="9.1796875" style="115"/>
  </cols>
  <sheetData>
    <row r="1" spans="1:5" ht="14.5" thickBot="1" x14ac:dyDescent="0.35">
      <c r="B1" s="116" t="s">
        <v>141</v>
      </c>
    </row>
    <row r="2" spans="1:5" ht="14.5" customHeight="1" thickBot="1" x14ac:dyDescent="0.35">
      <c r="A2" s="272" t="s">
        <v>207</v>
      </c>
      <c r="B2" s="285"/>
      <c r="C2" s="285"/>
      <c r="D2" s="285"/>
      <c r="E2" s="273"/>
    </row>
    <row r="3" spans="1:5" ht="14.5" thickBot="1" x14ac:dyDescent="0.35">
      <c r="A3" s="283" t="s">
        <v>142</v>
      </c>
      <c r="B3" s="283"/>
      <c r="C3" s="118" t="s">
        <v>138</v>
      </c>
      <c r="D3" s="272" t="s">
        <v>248</v>
      </c>
      <c r="E3" s="273"/>
    </row>
    <row r="4" spans="1:5" ht="142.5" customHeight="1" thickBot="1" x14ac:dyDescent="0.35">
      <c r="A4" s="284" t="s">
        <v>143</v>
      </c>
      <c r="B4" s="284"/>
      <c r="C4" s="241">
        <v>3050.62</v>
      </c>
      <c r="D4" s="274" t="s">
        <v>262</v>
      </c>
      <c r="E4" s="275"/>
    </row>
    <row r="8" spans="1:5" x14ac:dyDescent="0.3">
      <c r="B8" s="116" t="s">
        <v>144</v>
      </c>
    </row>
    <row r="9" spans="1:5" x14ac:dyDescent="0.3">
      <c r="B9" s="116" t="s">
        <v>145</v>
      </c>
    </row>
    <row r="10" spans="1:5" x14ac:dyDescent="0.3">
      <c r="A10" s="120"/>
      <c r="B10" s="121" t="s">
        <v>146</v>
      </c>
      <c r="C10" s="122" t="s">
        <v>25</v>
      </c>
      <c r="D10" s="123" t="s">
        <v>147</v>
      </c>
      <c r="E10" s="123" t="s">
        <v>148</v>
      </c>
    </row>
    <row r="11" spans="1:5" ht="14.5" thickBot="1" x14ac:dyDescent="0.35">
      <c r="A11" s="124" t="s">
        <v>2</v>
      </c>
      <c r="B11" s="125" t="s">
        <v>149</v>
      </c>
      <c r="C11" s="126">
        <f>1/12</f>
        <v>8.3333333333333329E-2</v>
      </c>
      <c r="D11" s="127" t="s">
        <v>150</v>
      </c>
      <c r="E11" s="127" t="s">
        <v>213</v>
      </c>
    </row>
    <row r="12" spans="1:5" ht="36.5" customHeight="1" thickBot="1" x14ac:dyDescent="0.35">
      <c r="A12" s="142" t="s">
        <v>4</v>
      </c>
      <c r="B12" s="125" t="s">
        <v>41</v>
      </c>
      <c r="C12" s="128">
        <f>C11/3</f>
        <v>2.7777777777777776E-2</v>
      </c>
      <c r="D12" s="129" t="s">
        <v>151</v>
      </c>
      <c r="E12" s="129" t="s">
        <v>152</v>
      </c>
    </row>
    <row r="13" spans="1:5" ht="14.5" thickBot="1" x14ac:dyDescent="0.35">
      <c r="A13" s="130"/>
      <c r="B13" s="131" t="s">
        <v>153</v>
      </c>
      <c r="C13" s="128">
        <f>C12+C11</f>
        <v>0.1111111111111111</v>
      </c>
      <c r="D13" s="132"/>
      <c r="E13" s="133"/>
    </row>
    <row r="14" spans="1:5" x14ac:dyDescent="0.3">
      <c r="A14" s="130"/>
      <c r="B14" s="131" t="s">
        <v>154</v>
      </c>
      <c r="C14" s="128">
        <f>C26*C13</f>
        <v>3.977777777777778E-2</v>
      </c>
      <c r="D14" s="132"/>
      <c r="E14" s="133"/>
    </row>
    <row r="15" spans="1:5" x14ac:dyDescent="0.3">
      <c r="B15" s="116"/>
    </row>
    <row r="16" spans="1:5" ht="14.5" thickBot="1" x14ac:dyDescent="0.35">
      <c r="B16" s="211" t="s">
        <v>214</v>
      </c>
    </row>
    <row r="17" spans="1:12" ht="14.5" thickBot="1" x14ac:dyDescent="0.35">
      <c r="A17" s="120"/>
      <c r="B17" s="121" t="s">
        <v>146</v>
      </c>
      <c r="C17" s="121" t="s">
        <v>25</v>
      </c>
      <c r="D17" s="121" t="s">
        <v>155</v>
      </c>
      <c r="E17" s="121" t="s">
        <v>212</v>
      </c>
    </row>
    <row r="18" spans="1:12" ht="14.5" thickBot="1" x14ac:dyDescent="0.35">
      <c r="A18" s="142" t="s">
        <v>2</v>
      </c>
      <c r="B18" s="125" t="s">
        <v>156</v>
      </c>
      <c r="C18" s="134">
        <v>0.2</v>
      </c>
      <c r="D18" s="135" t="s">
        <v>157</v>
      </c>
      <c r="E18" s="133" t="s">
        <v>199</v>
      </c>
    </row>
    <row r="19" spans="1:12" ht="54" customHeight="1" thickBot="1" x14ac:dyDescent="0.35">
      <c r="A19" s="142" t="s">
        <v>4</v>
      </c>
      <c r="B19" s="125" t="s">
        <v>158</v>
      </c>
      <c r="C19" s="134">
        <v>2.5000000000000001E-2</v>
      </c>
      <c r="D19" s="135" t="s">
        <v>157</v>
      </c>
      <c r="E19" s="133" t="s">
        <v>200</v>
      </c>
    </row>
    <row r="20" spans="1:12" ht="40.5" customHeight="1" thickBot="1" x14ac:dyDescent="0.35">
      <c r="A20" s="142" t="s">
        <v>6</v>
      </c>
      <c r="B20" s="125" t="s">
        <v>225</v>
      </c>
      <c r="C20" s="242">
        <v>0.02</v>
      </c>
      <c r="D20" s="135" t="s">
        <v>157</v>
      </c>
      <c r="E20" s="133" t="s">
        <v>201</v>
      </c>
      <c r="F20" s="158"/>
    </row>
    <row r="21" spans="1:12" ht="41.5" customHeight="1" thickBot="1" x14ac:dyDescent="0.35">
      <c r="A21" s="142" t="s">
        <v>8</v>
      </c>
      <c r="B21" s="125" t="s">
        <v>48</v>
      </c>
      <c r="C21" s="134">
        <v>1.4999999999999999E-2</v>
      </c>
      <c r="D21" s="135" t="s">
        <v>157</v>
      </c>
      <c r="E21" s="133" t="s">
        <v>202</v>
      </c>
    </row>
    <row r="22" spans="1:12" ht="14.5" thickBot="1" x14ac:dyDescent="0.35">
      <c r="A22" s="142" t="s">
        <v>31</v>
      </c>
      <c r="B22" s="125" t="s">
        <v>159</v>
      </c>
      <c r="C22" s="134">
        <v>0.01</v>
      </c>
      <c r="D22" s="135" t="s">
        <v>157</v>
      </c>
      <c r="E22" s="133" t="s">
        <v>203</v>
      </c>
    </row>
    <row r="23" spans="1:12" ht="14.5" thickBot="1" x14ac:dyDescent="0.35">
      <c r="A23" s="142" t="s">
        <v>33</v>
      </c>
      <c r="B23" s="125" t="s">
        <v>160</v>
      </c>
      <c r="C23" s="134">
        <v>6.0000000000000001E-3</v>
      </c>
      <c r="D23" s="135" t="s">
        <v>157</v>
      </c>
      <c r="E23" s="133" t="s">
        <v>204</v>
      </c>
    </row>
    <row r="24" spans="1:12" ht="14.5" thickBot="1" x14ac:dyDescent="0.35">
      <c r="A24" s="142" t="s">
        <v>35</v>
      </c>
      <c r="B24" s="125" t="s">
        <v>161</v>
      </c>
      <c r="C24" s="134">
        <v>2E-3</v>
      </c>
      <c r="D24" s="135"/>
      <c r="E24" s="133" t="s">
        <v>205</v>
      </c>
    </row>
    <row r="25" spans="1:12" ht="14.5" thickBot="1" x14ac:dyDescent="0.35">
      <c r="A25" s="142" t="s">
        <v>52</v>
      </c>
      <c r="B25" s="125" t="s">
        <v>162</v>
      </c>
      <c r="C25" s="134">
        <v>0.08</v>
      </c>
      <c r="D25" s="135" t="s">
        <v>157</v>
      </c>
      <c r="E25" s="133" t="s">
        <v>206</v>
      </c>
    </row>
    <row r="26" spans="1:12" ht="14.5" thickBot="1" x14ac:dyDescent="0.35">
      <c r="A26" s="130"/>
      <c r="B26" s="131" t="s">
        <v>163</v>
      </c>
      <c r="C26" s="136">
        <f>SUM(C18:C25)</f>
        <v>0.35800000000000004</v>
      </c>
    </row>
    <row r="27" spans="1:12" ht="85.5" customHeight="1" x14ac:dyDescent="0.3">
      <c r="A27" s="226">
        <v>1</v>
      </c>
      <c r="B27" s="278" t="s">
        <v>255</v>
      </c>
      <c r="C27" s="278"/>
      <c r="D27" s="278"/>
      <c r="E27" s="278"/>
    </row>
    <row r="28" spans="1:12" ht="34.5" customHeight="1" thickBot="1" x14ac:dyDescent="0.35">
      <c r="B28" s="289" t="s">
        <v>258</v>
      </c>
      <c r="C28" s="289"/>
      <c r="D28" s="289"/>
      <c r="E28" s="289"/>
      <c r="F28" s="137"/>
      <c r="G28" s="137"/>
      <c r="H28" s="137"/>
      <c r="I28" s="137"/>
      <c r="J28" s="137"/>
      <c r="K28" s="137"/>
      <c r="L28" s="137"/>
    </row>
    <row r="29" spans="1:12" ht="14.5" thickBot="1" x14ac:dyDescent="0.35">
      <c r="B29" s="116"/>
      <c r="D29" s="119"/>
      <c r="E29" s="224"/>
      <c r="F29" s="271" t="s">
        <v>209</v>
      </c>
      <c r="G29" s="271"/>
      <c r="H29" s="271"/>
      <c r="I29" s="271"/>
      <c r="J29" s="271"/>
      <c r="K29" s="271"/>
      <c r="L29" s="271"/>
    </row>
    <row r="30" spans="1:12" ht="14.5" thickBot="1" x14ac:dyDescent="0.35">
      <c r="B30" s="116" t="s">
        <v>164</v>
      </c>
      <c r="E30" s="224"/>
      <c r="F30" s="282"/>
      <c r="G30" s="282"/>
      <c r="H30" s="282"/>
      <c r="I30" s="282"/>
      <c r="J30" s="282"/>
      <c r="K30" s="282"/>
      <c r="L30" s="282"/>
    </row>
    <row r="31" spans="1:12" ht="112.5" thickBot="1" x14ac:dyDescent="0.35">
      <c r="A31" s="139"/>
      <c r="B31" s="121" t="s">
        <v>146</v>
      </c>
      <c r="C31" s="121" t="s">
        <v>210</v>
      </c>
      <c r="D31" s="121" t="s">
        <v>155</v>
      </c>
      <c r="E31" s="140" t="s">
        <v>148</v>
      </c>
      <c r="F31" s="141" t="s">
        <v>221</v>
      </c>
      <c r="G31" s="141" t="s">
        <v>222</v>
      </c>
      <c r="H31" s="141" t="s">
        <v>223</v>
      </c>
      <c r="I31" s="141" t="s">
        <v>224</v>
      </c>
      <c r="J31" s="141"/>
      <c r="K31" s="141"/>
      <c r="L31" s="141" t="s">
        <v>247</v>
      </c>
    </row>
    <row r="32" spans="1:12" ht="201" customHeight="1" thickBot="1" x14ac:dyDescent="0.35">
      <c r="A32" s="142" t="s">
        <v>2</v>
      </c>
      <c r="B32" s="125" t="s">
        <v>165</v>
      </c>
      <c r="C32" s="204">
        <f>IF((L32*2*22)-C4*0.06&lt;0,0,(L32*2*22)-C4*0.06)</f>
        <v>0</v>
      </c>
      <c r="D32" s="194" t="str">
        <f>"("&amp;TEXT(L32,"R$ 0,00")&amp;"=Valor do Decreto Municipal"&amp;" x 2 x 22) - (0,06 x Salário Base)"</f>
        <v>(R$ 4,00=Valor do Decreto Municipal x 2 x 22) - (0,06 x Salário Base)</v>
      </c>
      <c r="E32" s="247" t="s">
        <v>254</v>
      </c>
      <c r="F32" s="244">
        <v>4</v>
      </c>
      <c r="G32" s="244">
        <v>4</v>
      </c>
      <c r="H32" s="244">
        <v>4</v>
      </c>
      <c r="I32" s="244">
        <v>4</v>
      </c>
      <c r="J32" s="206"/>
      <c r="K32" s="206"/>
      <c r="L32" s="143">
        <f>IFERROR(ROUND(SUM(F32:K32)/COUNTIFS(F32:K32,"&gt;0"),2),"")</f>
        <v>4</v>
      </c>
    </row>
    <row r="33" spans="1:13" ht="105.5" customHeight="1" thickBot="1" x14ac:dyDescent="0.35">
      <c r="A33" s="142" t="s">
        <v>4</v>
      </c>
      <c r="B33" s="125" t="s">
        <v>166</v>
      </c>
      <c r="C33" s="243">
        <v>440.77</v>
      </c>
      <c r="D33" s="203" t="s">
        <v>226</v>
      </c>
      <c r="E33" s="247" t="s">
        <v>263</v>
      </c>
      <c r="F33" s="144"/>
      <c r="G33" s="144"/>
      <c r="H33" s="144"/>
      <c r="I33" s="144"/>
      <c r="J33" s="144"/>
      <c r="K33" s="144"/>
      <c r="L33" s="144"/>
    </row>
    <row r="34" spans="1:13" ht="70.5" thickBot="1" x14ac:dyDescent="0.35">
      <c r="A34" s="142" t="s">
        <v>6</v>
      </c>
      <c r="B34" s="125" t="s">
        <v>208</v>
      </c>
      <c r="C34" s="205">
        <f>L34</f>
        <v>49.12</v>
      </c>
      <c r="D34" s="201" t="s">
        <v>211</v>
      </c>
      <c r="E34" s="248" t="s">
        <v>264</v>
      </c>
      <c r="F34" s="244">
        <v>61.68</v>
      </c>
      <c r="G34" s="244">
        <v>56</v>
      </c>
      <c r="H34" s="244">
        <v>39.4</v>
      </c>
      <c r="I34" s="244">
        <v>39.4</v>
      </c>
      <c r="J34" s="206"/>
      <c r="K34" s="206"/>
      <c r="L34" s="143">
        <f>IFERROR(ROUND(SUM(F34:K34)/COUNTIFS(F34:K34,"&gt;0"),2),"")</f>
        <v>49.12</v>
      </c>
    </row>
    <row r="35" spans="1:13" ht="14.5" thickBot="1" x14ac:dyDescent="0.35">
      <c r="A35" s="142" t="s">
        <v>8</v>
      </c>
      <c r="B35" s="125" t="s">
        <v>57</v>
      </c>
      <c r="C35" s="199"/>
      <c r="D35" s="202"/>
      <c r="E35" s="145"/>
      <c r="F35" s="143"/>
      <c r="G35" s="143"/>
      <c r="H35" s="143"/>
      <c r="I35" s="143"/>
      <c r="J35" s="143"/>
      <c r="K35" s="143"/>
      <c r="L35" s="143"/>
    </row>
    <row r="36" spans="1:13" ht="228.5" customHeight="1" thickBot="1" x14ac:dyDescent="0.35">
      <c r="A36" s="142" t="s">
        <v>31</v>
      </c>
      <c r="B36" s="125" t="s">
        <v>58</v>
      </c>
      <c r="C36" s="205">
        <f>L36</f>
        <v>6.54</v>
      </c>
      <c r="D36" s="201" t="s">
        <v>211</v>
      </c>
      <c r="E36" s="247" t="s">
        <v>265</v>
      </c>
      <c r="F36" s="244">
        <v>13.56</v>
      </c>
      <c r="G36" s="244">
        <v>7</v>
      </c>
      <c r="H36" s="244">
        <v>2.8</v>
      </c>
      <c r="I36" s="244">
        <v>2.8</v>
      </c>
      <c r="J36" s="206"/>
      <c r="K36" s="206"/>
      <c r="L36" s="143">
        <f>IFERROR(ROUND(SUM(F36:K36)/COUNTIFS(F36:K36,"&gt;0"),2),"")</f>
        <v>6.54</v>
      </c>
    </row>
    <row r="37" spans="1:13" ht="14.5" thickBot="1" x14ac:dyDescent="0.35">
      <c r="A37" s="142" t="s">
        <v>33</v>
      </c>
      <c r="B37" s="125" t="s">
        <v>36</v>
      </c>
      <c r="C37" s="198"/>
      <c r="D37" s="200"/>
      <c r="E37" s="146"/>
    </row>
    <row r="38" spans="1:13" x14ac:dyDescent="0.3">
      <c r="B38" s="116"/>
    </row>
    <row r="39" spans="1:13" ht="14.5" thickBot="1" x14ac:dyDescent="0.35">
      <c r="B39" s="116" t="s">
        <v>167</v>
      </c>
    </row>
    <row r="40" spans="1:13" ht="14.5" thickBot="1" x14ac:dyDescent="0.35">
      <c r="B40" s="116" t="s">
        <v>168</v>
      </c>
      <c r="F40" s="271" t="s">
        <v>209</v>
      </c>
      <c r="G40" s="271"/>
      <c r="H40" s="271"/>
      <c r="I40" s="271"/>
      <c r="J40" s="271"/>
      <c r="K40" s="271"/>
      <c r="L40" s="271"/>
    </row>
    <row r="41" spans="1:13" ht="112.5" thickBot="1" x14ac:dyDescent="0.35">
      <c r="A41" s="139"/>
      <c r="B41" s="121" t="s">
        <v>146</v>
      </c>
      <c r="C41" s="117" t="s">
        <v>25</v>
      </c>
      <c r="D41" s="147" t="s">
        <v>147</v>
      </c>
      <c r="E41" s="147" t="s">
        <v>148</v>
      </c>
      <c r="F41" s="141" t="s">
        <v>221</v>
      </c>
      <c r="G41" s="141" t="s">
        <v>222</v>
      </c>
      <c r="H41" s="141" t="s">
        <v>223</v>
      </c>
      <c r="I41" s="141" t="s">
        <v>224</v>
      </c>
      <c r="J41" s="141"/>
      <c r="K41" s="141"/>
      <c r="L41" s="141" t="s">
        <v>247</v>
      </c>
    </row>
    <row r="42" spans="1:13" ht="28.5" thickBot="1" x14ac:dyDescent="0.35">
      <c r="A42" s="148" t="s">
        <v>2</v>
      </c>
      <c r="B42" s="215" t="s">
        <v>229</v>
      </c>
      <c r="C42" s="134">
        <f>1/12*LEFT(L42,FIND(" ",L42,1)-1)</f>
        <v>6.2499999999999995E-3</v>
      </c>
      <c r="D42" s="133" t="str">
        <f>"{[(Estimativa Média de Demissões por Aviso Prévio Indenizado="&amp;LEFT(L42,FIND(" ",L42,1)-1)&amp;") x(1/12)]x100}"</f>
        <v>{[(Estimativa Média de Demissões por Aviso Prévio Indenizado=7,50%) x(1/12)]x100}</v>
      </c>
      <c r="E42" s="133" t="s">
        <v>215</v>
      </c>
      <c r="F42" s="244">
        <v>0.1</v>
      </c>
      <c r="G42" s="244">
        <v>0.1</v>
      </c>
      <c r="H42" s="244">
        <v>0.05</v>
      </c>
      <c r="I42" s="244">
        <v>0.05</v>
      </c>
      <c r="J42" s="143" t="str">
        <f t="shared" ref="J42:K42" si="0">IF(J41*12&gt;0,J41*12,"")</f>
        <v/>
      </c>
      <c r="K42" s="143" t="str">
        <f t="shared" si="0"/>
        <v/>
      </c>
      <c r="L42" s="237" t="str">
        <f>TEXT(IFERROR(SUM(F42:K42)/COUNTIFS(F42:K42,"&gt;0"),""),"0,00%")&amp;" dos funcionários serão demitidos por "&amp;LOWER(LEFT(B42,LEN(B42)-1))</f>
        <v>7,50% dos funcionários serão demitidos por aviso prévio indenizado</v>
      </c>
      <c r="M42" s="240"/>
    </row>
    <row r="43" spans="1:13" ht="14.5" thickBot="1" x14ac:dyDescent="0.35">
      <c r="A43" s="142" t="s">
        <v>4</v>
      </c>
      <c r="B43" s="125" t="s">
        <v>72</v>
      </c>
      <c r="C43" s="134">
        <f>C42*0.08</f>
        <v>5.0000000000000001E-4</v>
      </c>
      <c r="D43" s="216" t="s">
        <v>245</v>
      </c>
      <c r="E43" s="132" t="s">
        <v>169</v>
      </c>
      <c r="F43" s="217"/>
      <c r="G43" s="218"/>
      <c r="H43" s="208"/>
      <c r="I43" s="208"/>
      <c r="J43" s="208"/>
      <c r="K43" s="208"/>
      <c r="L43" s="209"/>
    </row>
    <row r="44" spans="1:13" ht="107.5" customHeight="1" thickBot="1" x14ac:dyDescent="0.35">
      <c r="A44" s="142" t="s">
        <v>6</v>
      </c>
      <c r="B44" s="125" t="s">
        <v>230</v>
      </c>
      <c r="C44" s="134">
        <f>LEFT(L42,FIND(" ",L42,1)-1)*(0.4*(0.08*(1+(1/12)+(1/12)+((1/3)*(1/12))+(1/12))))</f>
        <v>3.0666666666666663E-3</v>
      </c>
      <c r="D44" s="149" t="str">
        <f>"(Estimativa Média de Demissões por Aviso Prévio Indenizado="&amp;LEFT(L42,FIND(" ",L42,1)-1)&amp;") x {40% x {8% x [ 1 + (1/12)+(1/12) + (1/3x1/12)+1/12 ] x 100}}"</f>
        <v>(Estimativa Média de Demissões por Aviso Prévio Indenizado=7,50%) x {40% x {8% x [ 1 + (1/12)+(1/12) + (1/3x1/12)+1/12 ] x 100}}</v>
      </c>
      <c r="E44" s="133" t="s">
        <v>227</v>
      </c>
      <c r="F44" s="219"/>
      <c r="G44" s="207"/>
      <c r="H44" s="207"/>
      <c r="I44" s="207"/>
      <c r="J44" s="207"/>
      <c r="K44" s="207"/>
      <c r="L44" s="207"/>
    </row>
    <row r="45" spans="1:13" ht="14.5" thickBot="1" x14ac:dyDescent="0.35">
      <c r="A45" s="142"/>
      <c r="B45" s="131" t="s">
        <v>170</v>
      </c>
      <c r="C45" s="134"/>
      <c r="D45" s="135"/>
      <c r="E45" s="133"/>
    </row>
    <row r="46" spans="1:13" x14ac:dyDescent="0.3">
      <c r="A46" s="138"/>
      <c r="B46" s="151"/>
      <c r="C46" s="220"/>
      <c r="D46" s="221"/>
      <c r="E46" s="119"/>
      <c r="H46" s="152"/>
      <c r="I46" s="152"/>
      <c r="J46" s="152"/>
      <c r="K46" s="152"/>
    </row>
    <row r="47" spans="1:13" ht="16" x14ac:dyDescent="0.3">
      <c r="A47" s="227">
        <v>2</v>
      </c>
      <c r="B47" s="278" t="str">
        <f>"Estimativa que "&amp;TEXT(L42,"0,00%")</f>
        <v>Estimativa que 7,50% dos funcionários serão demitidos por aviso prévio indenizado</v>
      </c>
      <c r="C47" s="278"/>
      <c r="D47" s="278"/>
      <c r="E47" s="278"/>
    </row>
    <row r="48" spans="1:13" ht="30.5" customHeight="1" x14ac:dyDescent="0.3">
      <c r="A48" s="227">
        <v>3</v>
      </c>
      <c r="B48" s="279" t="s">
        <v>228</v>
      </c>
      <c r="C48" s="280"/>
      <c r="D48" s="280"/>
      <c r="E48" s="280"/>
    </row>
    <row r="49" spans="1:1018" x14ac:dyDescent="0.3">
      <c r="B49" s="116"/>
    </row>
    <row r="50" spans="1:1018" ht="14.5" thickBot="1" x14ac:dyDescent="0.35">
      <c r="B50" s="116" t="s">
        <v>171</v>
      </c>
    </row>
    <row r="51" spans="1:1018" ht="14.5" thickBot="1" x14ac:dyDescent="0.35">
      <c r="A51" s="139"/>
      <c r="B51" s="121" t="s">
        <v>146</v>
      </c>
      <c r="C51" s="117" t="s">
        <v>25</v>
      </c>
      <c r="D51" s="147" t="s">
        <v>147</v>
      </c>
      <c r="E51" s="147" t="s">
        <v>148</v>
      </c>
    </row>
    <row r="52" spans="1:1018" ht="30.5" customHeight="1" thickBot="1" x14ac:dyDescent="0.35">
      <c r="A52" s="142" t="s">
        <v>2</v>
      </c>
      <c r="B52" s="153" t="s">
        <v>231</v>
      </c>
      <c r="C52" s="134">
        <f>((7/30)/12)</f>
        <v>1.9444444444444445E-2</v>
      </c>
      <c r="D52" s="133" t="s">
        <v>246</v>
      </c>
      <c r="E52" s="154" t="s">
        <v>216</v>
      </c>
    </row>
    <row r="53" spans="1:1018" ht="28.5" thickBot="1" x14ac:dyDescent="0.35">
      <c r="A53" s="142" t="s">
        <v>4</v>
      </c>
      <c r="B53" s="153" t="s">
        <v>76</v>
      </c>
      <c r="C53" s="134">
        <f>C52*C26</f>
        <v>6.9611111111111124E-3</v>
      </c>
      <c r="D53" s="129" t="s">
        <v>241</v>
      </c>
      <c r="E53" s="133"/>
      <c r="I53" s="214"/>
    </row>
    <row r="54" spans="1:1018" ht="46" customHeight="1" thickBot="1" x14ac:dyDescent="0.35">
      <c r="A54" s="142" t="s">
        <v>6</v>
      </c>
      <c r="B54" s="153" t="s">
        <v>244</v>
      </c>
      <c r="C54" s="155">
        <f>90%*(40%*(8%*(1+(1/12)+(1/12+1/3*1/12))))</f>
        <v>3.4400000000000007E-2</v>
      </c>
      <c r="D54" s="230" t="s">
        <v>242</v>
      </c>
      <c r="E54" s="154" t="s">
        <v>251</v>
      </c>
    </row>
    <row r="55" spans="1:1018" ht="14.5" thickBot="1" x14ac:dyDescent="0.35">
      <c r="A55" s="130"/>
      <c r="B55" s="153" t="s">
        <v>172</v>
      </c>
      <c r="C55" s="136"/>
      <c r="D55" s="137"/>
      <c r="E55" s="156"/>
    </row>
    <row r="56" spans="1:1018" x14ac:dyDescent="0.3">
      <c r="B56" s="151"/>
      <c r="C56" s="157"/>
      <c r="D56" s="158"/>
      <c r="E56" s="137"/>
    </row>
    <row r="57" spans="1:1018" ht="16" x14ac:dyDescent="0.3">
      <c r="A57" s="227">
        <v>4</v>
      </c>
      <c r="B57" s="278" t="s">
        <v>240</v>
      </c>
      <c r="C57" s="281"/>
      <c r="D57" s="281"/>
      <c r="E57" s="281"/>
    </row>
    <row r="58" spans="1:1018" ht="33.5" customHeight="1" x14ac:dyDescent="0.3">
      <c r="A58" s="227">
        <v>5</v>
      </c>
      <c r="B58" s="278" t="s">
        <v>243</v>
      </c>
      <c r="C58" s="281"/>
      <c r="D58" s="281"/>
      <c r="E58" s="281"/>
    </row>
    <row r="59" spans="1:1018" x14ac:dyDescent="0.3">
      <c r="B59" s="151"/>
      <c r="C59" s="157"/>
      <c r="D59" s="137"/>
      <c r="E59" s="137"/>
    </row>
    <row r="60" spans="1:1018" x14ac:dyDescent="0.3">
      <c r="B60" s="151"/>
      <c r="C60" s="157"/>
      <c r="D60" s="137"/>
      <c r="E60" s="231"/>
    </row>
    <row r="61" spans="1:1018" s="119" customFormat="1" x14ac:dyDescent="0.3">
      <c r="A61" s="115"/>
      <c r="B61" s="116" t="s">
        <v>173</v>
      </c>
      <c r="E61" s="212"/>
      <c r="F61" s="115"/>
      <c r="M61" s="115"/>
      <c r="R61" s="115"/>
      <c r="W61" s="115"/>
      <c r="AB61" s="115"/>
      <c r="AG61" s="115"/>
      <c r="AL61" s="115"/>
      <c r="AQ61" s="115"/>
      <c r="AV61" s="115"/>
      <c r="BA61" s="115"/>
      <c r="BF61" s="115"/>
      <c r="BK61" s="115"/>
      <c r="BP61" s="115"/>
      <c r="BU61" s="115"/>
      <c r="BZ61" s="115"/>
      <c r="CE61" s="115"/>
      <c r="CJ61" s="115"/>
      <c r="CO61" s="115"/>
      <c r="CT61" s="115"/>
      <c r="CY61" s="115"/>
      <c r="DD61" s="115"/>
      <c r="DI61" s="115"/>
      <c r="DN61" s="115"/>
      <c r="DS61" s="115"/>
      <c r="DX61" s="115"/>
      <c r="EC61" s="115"/>
      <c r="EH61" s="115"/>
      <c r="EM61" s="115"/>
      <c r="ER61" s="115"/>
      <c r="EW61" s="115"/>
      <c r="FB61" s="115"/>
      <c r="FG61" s="115"/>
      <c r="FL61" s="115"/>
      <c r="FQ61" s="115"/>
      <c r="FV61" s="115"/>
      <c r="GA61" s="115"/>
      <c r="GF61" s="115"/>
      <c r="GK61" s="115"/>
      <c r="GP61" s="115"/>
      <c r="GU61" s="115"/>
      <c r="GZ61" s="115"/>
      <c r="HE61" s="115"/>
      <c r="HJ61" s="115"/>
      <c r="HO61" s="115"/>
      <c r="HT61" s="115"/>
      <c r="HY61" s="115"/>
      <c r="ID61" s="115"/>
      <c r="II61" s="115"/>
      <c r="IN61" s="115"/>
      <c r="IS61" s="115"/>
      <c r="IX61" s="115"/>
      <c r="JC61" s="115"/>
      <c r="JH61" s="115"/>
      <c r="JM61" s="115"/>
      <c r="JR61" s="115"/>
      <c r="JW61" s="115"/>
      <c r="KB61" s="115"/>
      <c r="KG61" s="115"/>
      <c r="KL61" s="115"/>
      <c r="KQ61" s="115"/>
      <c r="KV61" s="115"/>
      <c r="LA61" s="115"/>
      <c r="LF61" s="115"/>
      <c r="LK61" s="115"/>
      <c r="LP61" s="115"/>
      <c r="LU61" s="115"/>
      <c r="LZ61" s="115"/>
      <c r="ME61" s="115"/>
      <c r="MJ61" s="115"/>
      <c r="MO61" s="115"/>
      <c r="MT61" s="115"/>
      <c r="MY61" s="115"/>
      <c r="ND61" s="115"/>
      <c r="NI61" s="115"/>
      <c r="NN61" s="115"/>
      <c r="NS61" s="115"/>
      <c r="NX61" s="115"/>
      <c r="OC61" s="115"/>
      <c r="OH61" s="115"/>
      <c r="OM61" s="115"/>
      <c r="OR61" s="115"/>
      <c r="OW61" s="115"/>
      <c r="PB61" s="115"/>
      <c r="PG61" s="115"/>
      <c r="PL61" s="115"/>
      <c r="PQ61" s="115"/>
      <c r="PV61" s="115"/>
      <c r="QA61" s="115"/>
      <c r="QF61" s="115"/>
      <c r="QK61" s="115"/>
      <c r="QP61" s="115"/>
      <c r="QU61" s="115"/>
      <c r="QZ61" s="115"/>
      <c r="RE61" s="115"/>
      <c r="RJ61" s="115"/>
      <c r="RO61" s="115"/>
      <c r="RT61" s="115"/>
      <c r="RY61" s="115"/>
      <c r="SD61" s="115"/>
      <c r="SI61" s="115"/>
      <c r="SN61" s="115"/>
      <c r="SS61" s="115"/>
      <c r="SX61" s="115"/>
      <c r="TC61" s="115"/>
      <c r="TH61" s="115"/>
      <c r="TM61" s="115"/>
      <c r="TR61" s="115"/>
      <c r="TW61" s="115"/>
      <c r="UB61" s="115"/>
      <c r="UG61" s="115"/>
      <c r="UL61" s="115"/>
      <c r="UQ61" s="115"/>
      <c r="UV61" s="115"/>
      <c r="VA61" s="115"/>
      <c r="VF61" s="115"/>
      <c r="VK61" s="115"/>
      <c r="VP61" s="115"/>
      <c r="VU61" s="115"/>
      <c r="VZ61" s="115"/>
      <c r="WE61" s="115"/>
      <c r="WJ61" s="115"/>
      <c r="WO61" s="115"/>
      <c r="WT61" s="115"/>
      <c r="WY61" s="115"/>
      <c r="XD61" s="115"/>
      <c r="XI61" s="115"/>
      <c r="XN61" s="115"/>
      <c r="XS61" s="115"/>
      <c r="XX61" s="115"/>
      <c r="YC61" s="115"/>
      <c r="YH61" s="115"/>
      <c r="YM61" s="115"/>
      <c r="YR61" s="115"/>
      <c r="YW61" s="115"/>
      <c r="ZB61" s="115"/>
      <c r="ZG61" s="115"/>
      <c r="ZL61" s="115"/>
      <c r="ZQ61" s="115"/>
      <c r="ZV61" s="115"/>
      <c r="AAA61" s="115"/>
      <c r="AAF61" s="115"/>
      <c r="AAK61" s="115"/>
      <c r="AAP61" s="115"/>
      <c r="AAU61" s="115"/>
      <c r="AAZ61" s="115"/>
      <c r="ABE61" s="115"/>
      <c r="ABJ61" s="115"/>
      <c r="ABO61" s="115"/>
      <c r="ABT61" s="115"/>
      <c r="ABY61" s="115"/>
      <c r="ACD61" s="115"/>
      <c r="ACI61" s="115"/>
      <c r="ACN61" s="115"/>
      <c r="ACS61" s="115"/>
      <c r="ACX61" s="115"/>
      <c r="ADC61" s="115"/>
      <c r="ADH61" s="115"/>
      <c r="ADM61" s="115"/>
      <c r="ADR61" s="115"/>
      <c r="ADW61" s="115"/>
      <c r="AEB61" s="115"/>
      <c r="AEG61" s="115"/>
      <c r="AEL61" s="115"/>
      <c r="AEQ61" s="115"/>
      <c r="AEV61" s="115"/>
      <c r="AFA61" s="115"/>
      <c r="AFF61" s="115"/>
      <c r="AFK61" s="115"/>
      <c r="AFP61" s="115"/>
      <c r="AFU61" s="115"/>
      <c r="AFZ61" s="115"/>
      <c r="AGE61" s="115"/>
      <c r="AGJ61" s="115"/>
      <c r="AGO61" s="115"/>
      <c r="AGT61" s="115"/>
      <c r="AGY61" s="115"/>
      <c r="AHD61" s="115"/>
      <c r="AHI61" s="115"/>
      <c r="AHN61" s="115"/>
      <c r="AHS61" s="115"/>
      <c r="AHX61" s="115"/>
      <c r="AIC61" s="115"/>
      <c r="AIH61" s="115"/>
      <c r="AIM61" s="115"/>
      <c r="AIR61" s="115"/>
      <c r="AIW61" s="115"/>
      <c r="AJB61" s="115"/>
      <c r="AJG61" s="115"/>
      <c r="AJL61" s="115"/>
      <c r="AJQ61" s="115"/>
      <c r="AJV61" s="115"/>
      <c r="AKA61" s="115"/>
      <c r="AKF61" s="115"/>
      <c r="AKK61" s="115"/>
      <c r="AKP61" s="115"/>
      <c r="AKU61" s="115"/>
      <c r="AKZ61" s="115"/>
      <c r="ALE61" s="115"/>
      <c r="ALJ61" s="115"/>
      <c r="ALO61" s="115"/>
      <c r="ALT61" s="115"/>
      <c r="ALY61" s="115"/>
      <c r="AMD61" s="115"/>
    </row>
    <row r="62" spans="1:1018" ht="14.5" thickBot="1" x14ac:dyDescent="0.35">
      <c r="A62" s="159"/>
      <c r="B62" s="159"/>
      <c r="C62" s="159"/>
      <c r="D62" s="159"/>
      <c r="E62" s="159"/>
    </row>
    <row r="63" spans="1:1018" ht="14.5" thickBot="1" x14ac:dyDescent="0.35">
      <c r="B63" s="116" t="s">
        <v>86</v>
      </c>
      <c r="C63" s="160"/>
      <c r="D63" s="160"/>
      <c r="E63" s="160"/>
      <c r="F63" s="271" t="s">
        <v>209</v>
      </c>
      <c r="G63" s="271"/>
      <c r="H63" s="271"/>
      <c r="I63" s="271"/>
      <c r="J63" s="271"/>
      <c r="K63" s="271"/>
      <c r="L63" s="271"/>
    </row>
    <row r="64" spans="1:1018" ht="112.5" thickBot="1" x14ac:dyDescent="0.35">
      <c r="A64" s="139"/>
      <c r="B64" s="121" t="s">
        <v>146</v>
      </c>
      <c r="C64" s="117" t="s">
        <v>25</v>
      </c>
      <c r="D64" s="147" t="s">
        <v>147</v>
      </c>
      <c r="E64" s="147" t="s">
        <v>148</v>
      </c>
      <c r="F64" s="141" t="s">
        <v>221</v>
      </c>
      <c r="G64" s="141" t="s">
        <v>222</v>
      </c>
      <c r="H64" s="141" t="s">
        <v>223</v>
      </c>
      <c r="I64" s="141" t="s">
        <v>224</v>
      </c>
      <c r="J64" s="141"/>
      <c r="K64" s="141"/>
      <c r="L64" s="141" t="s">
        <v>247</v>
      </c>
    </row>
    <row r="65" spans="1:13" ht="14.5" thickBot="1" x14ac:dyDescent="0.35">
      <c r="A65" s="142" t="s">
        <v>2</v>
      </c>
      <c r="B65" s="125" t="s">
        <v>174</v>
      </c>
      <c r="C65" s="134">
        <f>1/12</f>
        <v>8.3333333333333329E-2</v>
      </c>
      <c r="D65" s="132" t="s">
        <v>150</v>
      </c>
      <c r="E65" s="154" t="s">
        <v>217</v>
      </c>
      <c r="G65" s="161"/>
    </row>
    <row r="66" spans="1:13" ht="14.5" thickBot="1" x14ac:dyDescent="0.35">
      <c r="A66" s="142" t="s">
        <v>4</v>
      </c>
      <c r="B66" s="125" t="s">
        <v>88</v>
      </c>
      <c r="C66" s="134">
        <f>C65*C26</f>
        <v>2.9833333333333337E-2</v>
      </c>
      <c r="D66" s="133"/>
      <c r="E66" s="133"/>
    </row>
    <row r="67" spans="1:13" ht="28.5" thickBot="1" x14ac:dyDescent="0.35">
      <c r="A67" s="142" t="s">
        <v>6</v>
      </c>
      <c r="B67" s="125" t="s">
        <v>235</v>
      </c>
      <c r="C67" s="134">
        <f>(LEFT(L67,FIND(" ",L67,1)-1)/30)/12</f>
        <v>2.7777777777777779E-3</v>
      </c>
      <c r="D67" s="133" t="str">
        <f>"{[((Estimativa média de dias de Ausência Justificada="&amp;LEFT(L67,FIND(" ",L67,1)-1)&amp;" )/30)/12]x100} "</f>
        <v xml:space="preserve">{[((Estimativa média de dias de Ausência Justificada=1 )/30)/12]x100} </v>
      </c>
      <c r="E67" s="133"/>
      <c r="F67" s="244">
        <f>0.278%*12*30</f>
        <v>1.0007999999999999</v>
      </c>
      <c r="G67" s="244">
        <f>0.278%*12*30</f>
        <v>1.0007999999999999</v>
      </c>
      <c r="H67" s="244"/>
      <c r="I67" s="244"/>
      <c r="J67" s="206"/>
      <c r="K67" s="206"/>
      <c r="L67" s="225" t="str">
        <f>IFERROR(ROUND(SUM(F67:K67)/COUNTIFS(F67:K67,"&gt;0"),2),"")&amp;" dia de "&amp;LOWER(LEFT(B67,LEN(B67)-1))</f>
        <v>1 dia de ausência justificada</v>
      </c>
      <c r="M67" s="240"/>
    </row>
    <row r="68" spans="1:13" ht="28.5" thickBot="1" x14ac:dyDescent="0.35">
      <c r="A68" s="142" t="s">
        <v>8</v>
      </c>
      <c r="B68" s="125" t="s">
        <v>232</v>
      </c>
      <c r="C68" s="134">
        <f>(LEFT(L68,FIND(" ",L68,1)-1)/30)/12</f>
        <v>1.9166666666666666E-3</v>
      </c>
      <c r="D68" s="149" t="str">
        <f>"{[(Estimativa média de ausências legais="&amp;LEFT(L68,FIND(" ",L68,1)-1)&amp;" )/30]/12}"</f>
        <v>{[(Estimativa média de ausências legais=0,69 )/30]/12}</v>
      </c>
      <c r="E68" s="133" t="s">
        <v>175</v>
      </c>
      <c r="F68" s="244">
        <f>0.106%*12*30</f>
        <v>0.38159999999999994</v>
      </c>
      <c r="G68" s="244">
        <f>0.106%*12*30</f>
        <v>0.38159999999999994</v>
      </c>
      <c r="H68" s="244">
        <f>0.278%*12*30</f>
        <v>1.0007999999999999</v>
      </c>
      <c r="I68" s="244">
        <f>0.278%*12*30</f>
        <v>1.0007999999999999</v>
      </c>
      <c r="J68" s="206"/>
      <c r="K68" s="206"/>
      <c r="L68" s="225" t="str">
        <f>IFERROR(ROUND(SUM(F68:K68)/COUNTIFS(F68:K68,"&gt;0"),2),"")&amp;" dias de "&amp;LOWER(LEFT(B68,LEN(B68)-1))</f>
        <v>0,69 dias de ausências legais</v>
      </c>
      <c r="M68" s="240"/>
    </row>
    <row r="69" spans="1:13" ht="28.5" thickBot="1" x14ac:dyDescent="0.35">
      <c r="A69" s="142" t="s">
        <v>31</v>
      </c>
      <c r="B69" s="125" t="s">
        <v>236</v>
      </c>
      <c r="C69" s="134">
        <f>(LEFT(L69,FIND(" ",L69,1)-1)/30)/12</f>
        <v>6.8888888888888888E-3</v>
      </c>
      <c r="D69" s="133" t="str">
        <f>"{[Estimativa média de ausência por doença="&amp;LEFT(L69,FIND(" ",L69,1)-1)&amp;" ]/30}/12"</f>
        <v>{[Estimativa média de ausência por doença=2,48 ]/30}/12</v>
      </c>
      <c r="E69" s="133" t="s">
        <v>176</v>
      </c>
      <c r="F69" s="244">
        <f>0.959%*30*12</f>
        <v>3.4523999999999999</v>
      </c>
      <c r="G69" s="244">
        <f>0.959%*30*12</f>
        <v>3.4523999999999999</v>
      </c>
      <c r="H69" s="244">
        <f>0.417%*12*30</f>
        <v>1.5012000000000001</v>
      </c>
      <c r="I69" s="244">
        <f>0.417%*12*30</f>
        <v>1.5012000000000001</v>
      </c>
      <c r="J69" s="206"/>
      <c r="K69" s="206"/>
      <c r="L69" s="225" t="str">
        <f>IFERROR(ROUND(SUM(F69:K69)/COUNTIFS(F69:K69,"&gt;0"),2),"")&amp;" dias de "&amp;LOWER(LEFT(B69,LEN(B69)-1))</f>
        <v>2,48 dias de ausência por doença</v>
      </c>
      <c r="M69" s="240"/>
    </row>
    <row r="70" spans="1:13" ht="28.5" thickBot="1" x14ac:dyDescent="0.35">
      <c r="A70" s="142" t="s">
        <v>33</v>
      </c>
      <c r="B70" s="125" t="s">
        <v>237</v>
      </c>
      <c r="C70" s="134">
        <f>LEFT(L70,FIND(" ",L70,1)-1)*((5/30)/12)</f>
        <v>1.75E-4</v>
      </c>
      <c r="D70" s="133" t="str">
        <f>"(Estimativa média de licenças paternidades a serem usufruídas="&amp;LEFT(L70,FIND(" ",L70,1)-1)&amp;") x  [(5/30)/12]"</f>
        <v>(Estimativa média de licenças paternidades a serem usufruídas=1,26%) x  [(5/30)/12]</v>
      </c>
      <c r="E70" s="133" t="s">
        <v>218</v>
      </c>
      <c r="F70" s="245">
        <f>0.014%/((5/30)/12)</f>
        <v>1.0080000000000002E-2</v>
      </c>
      <c r="G70" s="245">
        <f>0.014%/((5/30)/12)</f>
        <v>1.0080000000000002E-2</v>
      </c>
      <c r="H70" s="245">
        <f>0.021%/((5/30)/12)</f>
        <v>1.5120000000000001E-2</v>
      </c>
      <c r="I70" s="245">
        <f>0.021%/((5/30)/12)</f>
        <v>1.5120000000000001E-2</v>
      </c>
      <c r="J70" s="206"/>
      <c r="K70" s="206"/>
      <c r="L70" s="237" t="str">
        <f>TEXT(IFERROR(SUM(F70:K70)/COUNTIFS(F70:K70,"&gt;0"),""),"0,00%")&amp;" dos funcionários usufruindo "&amp;LOWER(LEFT(B70,LEN(B70)-1))&amp;" de 5 dias"</f>
        <v>1,26% dos funcionários usufruindo licença paternidade de 5 dias</v>
      </c>
      <c r="M70" s="240"/>
    </row>
    <row r="71" spans="1:13" ht="70.5" thickBot="1" x14ac:dyDescent="0.35">
      <c r="A71" s="142" t="s">
        <v>35</v>
      </c>
      <c r="B71" s="125" t="s">
        <v>238</v>
      </c>
      <c r="C71" s="134">
        <f>LEFT(L71,FIND(" ",L71,1)-1)*((1+(1/3))*((4/12))/12)</f>
        <v>5.0000000000000001E-4</v>
      </c>
      <c r="D71" s="133" t="str">
        <f>"(Estimativa média de afastamentos maternidades a serem usufruídos="&amp;LEFT(L71,FIND(" ",L71,1)-1)&amp;") x [1+(1/3))*((4/12))/12]"</f>
        <v>(Estimativa média de afastamentos maternidades a serem usufruídos=1,35%) x [1+(1/3))*((4/12))/12]</v>
      </c>
      <c r="E71" s="154" t="s">
        <v>220</v>
      </c>
      <c r="F71" s="245">
        <f>0.05%/(((1+(1/3))*(4/12))/12)</f>
        <v>1.3500000000000002E-2</v>
      </c>
      <c r="G71" s="245">
        <f>0.05%/(((1+(1/3))*(4/12))/12)</f>
        <v>1.3500000000000002E-2</v>
      </c>
      <c r="H71" s="245"/>
      <c r="I71" s="245"/>
      <c r="J71" s="206"/>
      <c r="K71" s="206"/>
      <c r="L71" s="237" t="str">
        <f>TEXT(IFERROR(SUM(F71:K71)/COUNTIFS(F71:K71,"&gt;0"),""),"0,00%")&amp;" das funcionárias usufruindo "&amp;LOWER(LEFT(B71,LEN(B71)-2))&amp;" de 120 dias"</f>
        <v>1,35% das funcionárias usufruindo afastamento maternidade de 120 dias</v>
      </c>
      <c r="M71" s="240"/>
    </row>
    <row r="72" spans="1:13" ht="42.5" thickBot="1" x14ac:dyDescent="0.35">
      <c r="A72" s="142" t="s">
        <v>52</v>
      </c>
      <c r="B72" s="125" t="s">
        <v>239</v>
      </c>
      <c r="C72" s="134">
        <f>LEFT(L72,FIND(" ",L72,1)-1)*((15/30)/12)</f>
        <v>2.9916666666666668E-3</v>
      </c>
      <c r="D72" s="133" t="str">
        <f>"(Estimativa média de funcionários com ausência por acidentes no trabalho nos primeiros 15 dias="&amp;LEFT(L72,FIND(" ",L72,1)-1)&amp;") x [(15/30)/12]"</f>
        <v>(Estimativa média de funcionários com ausência por acidentes no trabalho nos primeiros 15 dias=7,18%) x [(15/30)/12]</v>
      </c>
      <c r="E72" s="133" t="s">
        <v>219</v>
      </c>
      <c r="F72" s="245">
        <f>0.265%/((15/30)/12)</f>
        <v>6.3600000000000004E-2</v>
      </c>
      <c r="G72" s="245">
        <f>0.265%/((15/30)/12)</f>
        <v>6.3600000000000004E-2</v>
      </c>
      <c r="H72" s="245">
        <f>0.3333%/((15/30)/12)</f>
        <v>7.9992000000000008E-2</v>
      </c>
      <c r="I72" s="245">
        <f>0.3333%/((15/30)/12)</f>
        <v>7.9992000000000008E-2</v>
      </c>
      <c r="J72" s="206"/>
      <c r="K72" s="206"/>
      <c r="L72" s="237" t="str">
        <f>TEXT(IFERROR(SUM(F72:K72)/COUNTIFS(F72:K72,"&gt;0"),""),"0,00%")&amp;" dos funcionários com "&amp;LOWER(LEFT(B72,LEN(B72)-2))&amp;" de 15 dias."</f>
        <v>7,18% dos funcionários com ausência por acidente de trabalho de 15 dias.</v>
      </c>
      <c r="M72" s="240"/>
    </row>
    <row r="73" spans="1:13" ht="28.5" thickBot="1" x14ac:dyDescent="0.35">
      <c r="A73" s="142" t="s">
        <v>95</v>
      </c>
      <c r="B73" s="125" t="s">
        <v>252</v>
      </c>
      <c r="C73" s="134">
        <f>SUM(C67:C71)*C26</f>
        <v>4.3884833333333343E-3</v>
      </c>
      <c r="D73" s="133"/>
      <c r="E73" s="154"/>
      <c r="F73" s="228"/>
      <c r="G73" s="228"/>
      <c r="H73" s="228"/>
      <c r="I73" s="228"/>
      <c r="J73" s="229"/>
      <c r="K73" s="229"/>
      <c r="L73" s="207"/>
    </row>
    <row r="74" spans="1:13" ht="56.5" thickBot="1" x14ac:dyDescent="0.35">
      <c r="A74" s="142" t="s">
        <v>234</v>
      </c>
      <c r="B74" s="125" t="s">
        <v>253</v>
      </c>
      <c r="C74" s="134">
        <f>C72*C25</f>
        <v>2.3933333333333334E-4</v>
      </c>
      <c r="D74" s="133"/>
      <c r="E74" s="154" t="s">
        <v>233</v>
      </c>
      <c r="H74" s="162"/>
      <c r="I74" s="162"/>
      <c r="J74" s="162"/>
      <c r="K74" s="162"/>
    </row>
    <row r="75" spans="1:13" ht="14.5" thickBot="1" x14ac:dyDescent="0.35">
      <c r="A75" s="130"/>
      <c r="B75" s="131" t="s">
        <v>177</v>
      </c>
      <c r="C75" s="136"/>
      <c r="D75" s="156"/>
      <c r="E75" s="156"/>
      <c r="G75" s="162"/>
      <c r="H75" s="162"/>
      <c r="I75" s="162"/>
      <c r="J75" s="162"/>
      <c r="K75" s="162"/>
    </row>
    <row r="76" spans="1:13" x14ac:dyDescent="0.3">
      <c r="A76" s="163"/>
      <c r="B76" s="164"/>
      <c r="C76" s="164"/>
      <c r="D76" s="164"/>
      <c r="E76" s="164"/>
      <c r="G76" s="162"/>
    </row>
    <row r="77" spans="1:13" ht="22" customHeight="1" x14ac:dyDescent="0.3">
      <c r="A77" s="232">
        <v>6</v>
      </c>
      <c r="B77" s="279" t="str">
        <f>"Média estimada "&amp;L67</f>
        <v>Média estimada 1 dia de ausência justificada</v>
      </c>
      <c r="C77" s="279"/>
      <c r="D77" s="279"/>
      <c r="E77" s="279"/>
      <c r="G77" s="162"/>
      <c r="H77" s="150"/>
      <c r="I77" s="150"/>
      <c r="J77" s="150"/>
      <c r="K77" s="150"/>
    </row>
    <row r="78" spans="1:13" ht="20" customHeight="1" x14ac:dyDescent="0.3">
      <c r="A78" s="233">
        <v>7</v>
      </c>
      <c r="B78" s="279" t="str">
        <f>"Média estimada de "&amp;L68</f>
        <v>Média estimada de 0,69 dias de ausências legais</v>
      </c>
      <c r="C78" s="279"/>
      <c r="D78" s="279"/>
      <c r="E78" s="279"/>
      <c r="G78" s="162"/>
      <c r="H78" s="150"/>
      <c r="I78" s="150"/>
      <c r="J78" s="150"/>
      <c r="K78" s="150"/>
    </row>
    <row r="79" spans="1:13" ht="19" customHeight="1" x14ac:dyDescent="0.3">
      <c r="A79" s="233">
        <v>8</v>
      </c>
      <c r="B79" s="279" t="str">
        <f>"Média estimada de "&amp;L69</f>
        <v>Média estimada de 2,48 dias de ausência por doença</v>
      </c>
      <c r="C79" s="279"/>
      <c r="D79" s="279"/>
      <c r="E79" s="279"/>
      <c r="G79" s="162"/>
      <c r="L79" s="165"/>
    </row>
    <row r="80" spans="1:13" ht="31" customHeight="1" x14ac:dyDescent="0.3">
      <c r="A80" s="233">
        <v>9</v>
      </c>
      <c r="B80" s="279" t="str">
        <f>"Média estimada de "&amp;L70&amp;".  Foi considerado somente 5 dias de licença, pois mesmo que a empresa faça a opção pelo Programa empresa Cidadã (20 dias de licença) a despesa é dedutível do IRPJ em função do art. 5º da Lei 11.770/2008 não havendo custo de reposição."</f>
        <v>Média estimada de 1,26% dos funcionários usufruindo licença paternidade de 5 dias.  Foi considerado somente 5 dias de licença, pois mesmo que a empresa faça a opção pelo Programa empresa Cidadã (20 dias de licença) a despesa é dedutível do IRPJ em função do art. 5º da Lei 11.770/2008 não havendo custo de reposição.</v>
      </c>
      <c r="C80" s="279"/>
      <c r="D80" s="279"/>
      <c r="E80" s="279"/>
      <c r="G80" s="162"/>
    </row>
    <row r="81" spans="1:12" ht="34" customHeight="1" x14ac:dyDescent="0.3">
      <c r="A81" s="233">
        <v>10</v>
      </c>
      <c r="B81" s="279" t="str">
        <f>"Média estimada de "&amp;L71&amp;".  Foi considerado somente 120 dias de licença, pois mesmo que a empresa faça a opção pelo Programa empresa Cidadã 180 dias de licença) a despesa é dedutível do IRPJ em função do art. 5º da Lei 11.770/2008 não havendo custo de reposição."</f>
        <v>Média estimada de 1,35% das funcionárias usufruindo afastamento maternidade de 120 dias.  Foi considerado somente 120 dias de licença, pois mesmo que a empresa faça a opção pelo Programa empresa Cidadã 180 dias de licença) a despesa é dedutível do IRPJ em função do art. 5º da Lei 11.770/2008 não havendo custo de reposição.</v>
      </c>
      <c r="C81" s="279"/>
      <c r="D81" s="279"/>
      <c r="E81" s="279"/>
    </row>
    <row r="82" spans="1:12" ht="21" customHeight="1" x14ac:dyDescent="0.3">
      <c r="A82" s="233">
        <v>11</v>
      </c>
      <c r="B82" s="279" t="str">
        <f>"Média estimada de "&amp;L72</f>
        <v>Média estimada de 7,18% dos funcionários com ausência por acidente de trabalho de 15 dias.</v>
      </c>
      <c r="C82" s="279"/>
      <c r="D82" s="279"/>
      <c r="E82" s="279"/>
    </row>
    <row r="83" spans="1:12" x14ac:dyDescent="0.3">
      <c r="B83" s="116" t="s">
        <v>192</v>
      </c>
    </row>
    <row r="84" spans="1:12" x14ac:dyDescent="0.3">
      <c r="B84" s="116"/>
      <c r="G84" s="152"/>
    </row>
    <row r="85" spans="1:12" x14ac:dyDescent="0.3">
      <c r="A85" s="166"/>
      <c r="B85" s="116" t="s">
        <v>97</v>
      </c>
      <c r="C85" s="160"/>
      <c r="D85" s="160"/>
      <c r="E85" s="160"/>
      <c r="H85" s="167"/>
      <c r="I85" s="167"/>
      <c r="J85" s="167"/>
      <c r="K85" s="167"/>
    </row>
    <row r="86" spans="1:12" x14ac:dyDescent="0.3">
      <c r="A86" s="139"/>
      <c r="B86" s="121" t="s">
        <v>146</v>
      </c>
      <c r="C86" s="117" t="s">
        <v>25</v>
      </c>
      <c r="D86" s="147" t="s">
        <v>147</v>
      </c>
      <c r="E86" s="147" t="s">
        <v>148</v>
      </c>
    </row>
    <row r="87" spans="1:12" x14ac:dyDescent="0.3">
      <c r="A87" s="142" t="s">
        <v>2</v>
      </c>
      <c r="B87" s="125" t="s">
        <v>98</v>
      </c>
      <c r="C87" s="134" t="s">
        <v>157</v>
      </c>
      <c r="D87" s="135"/>
      <c r="E87" s="133"/>
    </row>
    <row r="88" spans="1:12" ht="28" x14ac:dyDescent="0.3">
      <c r="A88" s="142" t="s">
        <v>4</v>
      </c>
      <c r="B88" s="125" t="s">
        <v>99</v>
      </c>
      <c r="C88" s="134" t="s">
        <v>157</v>
      </c>
      <c r="D88" s="135"/>
      <c r="E88" s="133"/>
    </row>
    <row r="89" spans="1:12" x14ac:dyDescent="0.3">
      <c r="A89" s="130"/>
      <c r="B89" s="131" t="s">
        <v>178</v>
      </c>
      <c r="C89" s="136" t="s">
        <v>157</v>
      </c>
      <c r="D89" s="156"/>
      <c r="E89" s="156"/>
    </row>
    <row r="90" spans="1:12" x14ac:dyDescent="0.3">
      <c r="B90" s="116"/>
    </row>
    <row r="91" spans="1:12" x14ac:dyDescent="0.3">
      <c r="B91" s="116"/>
      <c r="F91" s="138"/>
      <c r="G91" s="138"/>
      <c r="H91" s="138"/>
      <c r="I91" s="138"/>
      <c r="J91" s="138"/>
      <c r="K91" s="138"/>
      <c r="L91" s="138"/>
    </row>
    <row r="92" spans="1:12" x14ac:dyDescent="0.3">
      <c r="B92" s="116" t="s">
        <v>179</v>
      </c>
      <c r="F92" s="210"/>
      <c r="G92" s="210"/>
      <c r="H92" s="210"/>
      <c r="I92" s="210"/>
      <c r="J92" s="210"/>
      <c r="K92" s="210"/>
      <c r="L92" s="207"/>
    </row>
    <row r="93" spans="1:12" x14ac:dyDescent="0.3">
      <c r="A93" s="168"/>
      <c r="B93" s="169" t="s">
        <v>146</v>
      </c>
      <c r="C93" s="277" t="s">
        <v>155</v>
      </c>
      <c r="D93" s="277"/>
      <c r="E93" s="169" t="s">
        <v>148</v>
      </c>
    </row>
    <row r="94" spans="1:12" x14ac:dyDescent="0.3">
      <c r="A94" s="286" t="s">
        <v>2</v>
      </c>
      <c r="B94" s="287" t="s">
        <v>180</v>
      </c>
      <c r="C94" s="170">
        <v>0</v>
      </c>
      <c r="D94" s="171"/>
      <c r="E94" s="288"/>
      <c r="L94" s="115" t="str">
        <f>IFERROR(ROUND(SUM(F94:K94)/COUNTIFS(F94:K94,"&gt;0"),2),"")</f>
        <v/>
      </c>
    </row>
    <row r="95" spans="1:12" s="115" customFormat="1" ht="14.5" thickBot="1" x14ac:dyDescent="0.35">
      <c r="A95" s="286"/>
      <c r="B95" s="287"/>
      <c r="C95" s="172"/>
      <c r="D95" s="171"/>
      <c r="E95" s="288"/>
    </row>
    <row r="96" spans="1:12" ht="14.5" thickBot="1" x14ac:dyDescent="0.35">
      <c r="A96" s="148" t="s">
        <v>4</v>
      </c>
      <c r="B96" s="173" t="s">
        <v>109</v>
      </c>
      <c r="C96" s="174">
        <v>0</v>
      </c>
      <c r="D96" s="175"/>
      <c r="E96" s="176"/>
    </row>
    <row r="97" spans="1:13" x14ac:dyDescent="0.3">
      <c r="A97" s="138"/>
      <c r="B97" s="177"/>
      <c r="C97" s="178" t="s">
        <v>181</v>
      </c>
      <c r="D97" s="178"/>
      <c r="E97" s="179"/>
    </row>
    <row r="98" spans="1:13" x14ac:dyDescent="0.3">
      <c r="B98" s="180"/>
      <c r="C98" s="157"/>
    </row>
    <row r="99" spans="1:13" x14ac:dyDescent="0.3">
      <c r="B99" s="181" t="s">
        <v>182</v>
      </c>
      <c r="C99" s="182"/>
      <c r="D99" s="182"/>
      <c r="E99" s="183"/>
    </row>
    <row r="100" spans="1:13" x14ac:dyDescent="0.3">
      <c r="B100" s="184"/>
      <c r="E100" s="185"/>
    </row>
    <row r="101" spans="1:13" x14ac:dyDescent="0.3">
      <c r="B101" s="184" t="s">
        <v>183</v>
      </c>
      <c r="E101" s="185"/>
    </row>
    <row r="102" spans="1:13" ht="37.5" customHeight="1" thickBot="1" x14ac:dyDescent="0.35">
      <c r="B102" s="276" t="s">
        <v>184</v>
      </c>
      <c r="C102" s="276"/>
      <c r="D102" s="276"/>
      <c r="E102" s="276"/>
    </row>
    <row r="103" spans="1:13" ht="18" customHeight="1" thickBot="1" x14ac:dyDescent="0.35">
      <c r="B103" s="276" t="s">
        <v>185</v>
      </c>
      <c r="C103" s="276"/>
      <c r="D103" s="276"/>
      <c r="E103" s="276"/>
      <c r="F103" s="271" t="s">
        <v>209</v>
      </c>
      <c r="G103" s="271"/>
      <c r="H103" s="271"/>
      <c r="I103" s="271"/>
      <c r="J103" s="271"/>
      <c r="K103" s="271"/>
      <c r="L103" s="271"/>
    </row>
    <row r="104" spans="1:13" ht="132" customHeight="1" thickBot="1" x14ac:dyDescent="0.35">
      <c r="B104" s="147" t="s">
        <v>146</v>
      </c>
      <c r="C104" s="121" t="s">
        <v>25</v>
      </c>
      <c r="D104" s="119"/>
      <c r="E104" s="186"/>
      <c r="F104" s="141" t="s">
        <v>221</v>
      </c>
      <c r="G104" s="141" t="s">
        <v>222</v>
      </c>
      <c r="H104" s="141" t="s">
        <v>223</v>
      </c>
      <c r="I104" s="141" t="s">
        <v>224</v>
      </c>
      <c r="J104" s="141"/>
      <c r="K104" s="141"/>
      <c r="L104" s="141" t="s">
        <v>247</v>
      </c>
    </row>
    <row r="105" spans="1:13" x14ac:dyDescent="0.3">
      <c r="B105" s="187" t="s">
        <v>186</v>
      </c>
      <c r="C105" s="134">
        <f>L105</f>
        <v>0.02</v>
      </c>
      <c r="D105" s="119"/>
      <c r="E105" s="186"/>
      <c r="F105" s="246">
        <v>0.02</v>
      </c>
      <c r="G105" s="246">
        <v>0.02</v>
      </c>
      <c r="H105" s="246">
        <v>0.02</v>
      </c>
      <c r="I105" s="246">
        <v>0.02</v>
      </c>
      <c r="J105" s="234"/>
      <c r="K105" s="234"/>
      <c r="L105" s="235">
        <f>IFERROR(ROUND(SUM(F105:K105)/COUNTIFS(F105:K105,"&gt;0"),6),"")</f>
        <v>0.02</v>
      </c>
    </row>
    <row r="106" spans="1:13" x14ac:dyDescent="0.3">
      <c r="B106" s="187" t="s">
        <v>187</v>
      </c>
      <c r="C106" s="134">
        <f>L106</f>
        <v>2.2582999999999999E-2</v>
      </c>
      <c r="D106" s="119"/>
      <c r="E106" s="186"/>
      <c r="F106" s="246">
        <v>1.17E-2</v>
      </c>
      <c r="G106" s="246">
        <v>3.5029999999999999E-2</v>
      </c>
      <c r="H106" s="246">
        <v>2.18E-2</v>
      </c>
      <c r="I106" s="246">
        <v>2.1802999999999999E-2</v>
      </c>
      <c r="J106" s="234"/>
      <c r="K106" s="234"/>
      <c r="L106" s="235">
        <f>IFERROR(ROUND(SUM(F106:K106)/COUNTIFS(F106:K106,"&gt;0"),6),"")</f>
        <v>2.2582999999999999E-2</v>
      </c>
      <c r="M106" s="236"/>
    </row>
    <row r="107" spans="1:13" x14ac:dyDescent="0.3">
      <c r="B107" s="187" t="s">
        <v>188</v>
      </c>
      <c r="C107" s="134"/>
      <c r="D107" s="119"/>
      <c r="E107" s="186"/>
      <c r="F107" s="236"/>
      <c r="G107" s="236"/>
      <c r="H107" s="236"/>
      <c r="I107" s="236"/>
      <c r="J107" s="236"/>
      <c r="K107" s="236"/>
      <c r="L107" s="236"/>
    </row>
    <row r="108" spans="1:13" x14ac:dyDescent="0.3">
      <c r="B108" s="187" t="s">
        <v>118</v>
      </c>
      <c r="C108" s="134">
        <v>9.2499999999999999E-2</v>
      </c>
      <c r="D108" s="119"/>
      <c r="E108" s="186"/>
    </row>
    <row r="109" spans="1:13" x14ac:dyDescent="0.3">
      <c r="B109" s="187" t="s">
        <v>189</v>
      </c>
      <c r="C109" s="134"/>
      <c r="D109" s="119"/>
      <c r="E109" s="186"/>
    </row>
    <row r="110" spans="1:13" x14ac:dyDescent="0.3">
      <c r="B110" s="187" t="s">
        <v>120</v>
      </c>
      <c r="C110" s="134">
        <v>0.05</v>
      </c>
      <c r="D110" s="119"/>
      <c r="E110" s="186"/>
    </row>
    <row r="111" spans="1:13" x14ac:dyDescent="0.3">
      <c r="B111" s="188"/>
      <c r="E111" s="185"/>
    </row>
    <row r="112" spans="1:13" x14ac:dyDescent="0.3">
      <c r="B112" s="188" t="s">
        <v>190</v>
      </c>
      <c r="E112" s="185"/>
    </row>
    <row r="113" spans="2:5" ht="42.5" thickBot="1" x14ac:dyDescent="0.35">
      <c r="B113" s="189" t="s">
        <v>191</v>
      </c>
      <c r="C113" s="190"/>
      <c r="D113" s="190"/>
      <c r="E113" s="191"/>
    </row>
    <row r="122" spans="2:5" x14ac:dyDescent="0.3">
      <c r="B122" s="192"/>
    </row>
    <row r="123" spans="2:5" x14ac:dyDescent="0.3">
      <c r="B123" s="192"/>
    </row>
    <row r="124" spans="2:5" x14ac:dyDescent="0.3">
      <c r="B124" s="192"/>
    </row>
    <row r="125" spans="2:5" x14ac:dyDescent="0.3">
      <c r="B125" s="192"/>
    </row>
    <row r="126" spans="2:5" x14ac:dyDescent="0.3">
      <c r="B126" s="192"/>
    </row>
    <row r="127" spans="2:5" x14ac:dyDescent="0.3">
      <c r="B127" s="192"/>
      <c r="C127" s="193"/>
    </row>
    <row r="128" spans="2:5" x14ac:dyDescent="0.3">
      <c r="B128" s="192"/>
      <c r="C128" s="193"/>
    </row>
    <row r="129" spans="2:3" x14ac:dyDescent="0.3">
      <c r="B129" s="192"/>
      <c r="C129" s="193"/>
    </row>
    <row r="130" spans="2:3" x14ac:dyDescent="0.3">
      <c r="B130" s="192"/>
    </row>
    <row r="131" spans="2:3" x14ac:dyDescent="0.3">
      <c r="B131" s="192"/>
    </row>
    <row r="132" spans="2:3" x14ac:dyDescent="0.3">
      <c r="B132" s="192"/>
    </row>
    <row r="133" spans="2:3" x14ac:dyDescent="0.3">
      <c r="B133" s="192"/>
    </row>
    <row r="134" spans="2:3" x14ac:dyDescent="0.3">
      <c r="B134" s="192"/>
    </row>
  </sheetData>
  <mergeCells count="28">
    <mergeCell ref="A4:B4"/>
    <mergeCell ref="B27:E27"/>
    <mergeCell ref="A2:E2"/>
    <mergeCell ref="A94:A95"/>
    <mergeCell ref="B94:B95"/>
    <mergeCell ref="E94:E95"/>
    <mergeCell ref="B78:E78"/>
    <mergeCell ref="B79:E79"/>
    <mergeCell ref="B80:E80"/>
    <mergeCell ref="B82:E82"/>
    <mergeCell ref="B81:E81"/>
    <mergeCell ref="B28:E28"/>
    <mergeCell ref="F40:L40"/>
    <mergeCell ref="F63:L63"/>
    <mergeCell ref="F103:L103"/>
    <mergeCell ref="D3:E3"/>
    <mergeCell ref="D4:E4"/>
    <mergeCell ref="B102:E102"/>
    <mergeCell ref="B103:E103"/>
    <mergeCell ref="C93:D93"/>
    <mergeCell ref="B47:E47"/>
    <mergeCell ref="B48:E48"/>
    <mergeCell ref="B57:E57"/>
    <mergeCell ref="B58:E58"/>
    <mergeCell ref="B77:E77"/>
    <mergeCell ref="F29:L29"/>
    <mergeCell ref="F30:L30"/>
    <mergeCell ref="A3:B3"/>
  </mergeCells>
  <pageMargins left="0.51180555555555596" right="0.51180555555555596" top="0.78749999999999998" bottom="0.78749999999999998" header="0.511811023622047" footer="0.511811023622047"/>
  <pageSetup paperSize="9" scale="3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AUX. GESTÃO SUP2024</vt:lpstr>
      <vt:lpstr>Memoria de Cálculo</vt:lpstr>
      <vt:lpstr>'AUX. GESTÃO SUP2024'!Area_de_impressao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</dc:creator>
  <dc:description/>
  <cp:lastModifiedBy>Gustavo Diógenes Pessoa</cp:lastModifiedBy>
  <cp:revision>3</cp:revision>
  <cp:lastPrinted>2024-03-12T15:23:54Z</cp:lastPrinted>
  <dcterms:created xsi:type="dcterms:W3CDTF">2010-12-08T17:56:29Z</dcterms:created>
  <dcterms:modified xsi:type="dcterms:W3CDTF">2024-04-16T13:42:48Z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