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03" activeTab="2"/>
  </bookViews>
  <sheets>
    <sheet name="Polos" sheetId="18" r:id="rId1"/>
    <sheet name="Resumo" sheetId="22" r:id="rId2"/>
    <sheet name="Graus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Graus!$B$2:$J$24</definedName>
    <definedName name="_xlnm.Print_Area" localSheetId="0">Polos!$A$2:$K$151</definedName>
    <definedName name="BDI" localSheetId="2">[1]Insumos!$D$5</definedName>
    <definedName name="BDI">[2]Insumos!$D$5</definedName>
    <definedName name="faad5_" localSheetId="2">[1]Insumos!$F$201</definedName>
    <definedName name="faad5_">[2]Insumos!$F$201</definedName>
  </definedNames>
  <calcPr calcId="125725"/>
</workbook>
</file>

<file path=xl/calcChain.xml><?xml version="1.0" encoding="utf-8"?>
<calcChain xmlns="http://schemas.openxmlformats.org/spreadsheetml/2006/main">
  <c r="I9" i="23"/>
  <c r="G22"/>
  <c r="H22"/>
  <c r="G7"/>
  <c r="G8" s="1"/>
  <c r="H7"/>
  <c r="H8" s="1"/>
  <c r="I10"/>
  <c r="I12"/>
  <c r="I13"/>
  <c r="G9" l="1"/>
  <c r="G18" s="1"/>
  <c r="H9"/>
  <c r="H18" s="1"/>
  <c r="G71" i="18" l="1"/>
  <c r="F71"/>
  <c r="G70"/>
  <c r="F70"/>
  <c r="G68"/>
  <c r="F68"/>
  <c r="G59"/>
  <c r="G60"/>
  <c r="G61"/>
  <c r="G62"/>
  <c r="G63"/>
  <c r="G64"/>
  <c r="G58"/>
  <c r="F59"/>
  <c r="F60"/>
  <c r="F61"/>
  <c r="F62"/>
  <c r="F63"/>
  <c r="F64"/>
  <c r="F58"/>
  <c r="E59"/>
  <c r="E60"/>
  <c r="E61"/>
  <c r="E62"/>
  <c r="E63"/>
  <c r="E64"/>
  <c r="E58"/>
  <c r="D59"/>
  <c r="D60"/>
  <c r="D61"/>
  <c r="D62"/>
  <c r="D63"/>
  <c r="D64"/>
  <c r="D58"/>
  <c r="M64" l="1"/>
  <c r="H108"/>
  <c r="H53" l="1"/>
  <c r="H16" l="1"/>
  <c r="J53" l="1"/>
  <c r="J108"/>
  <c r="H146"/>
  <c r="J146" s="1"/>
  <c r="H127" l="1"/>
  <c r="J127" s="1"/>
  <c r="M13" i="22" l="1"/>
  <c r="L13"/>
  <c r="I16" i="23" s="1"/>
  <c r="M12" i="22"/>
  <c r="L12"/>
  <c r="I15" i="23" s="1"/>
  <c r="M11" i="22"/>
  <c r="L11"/>
  <c r="I14" i="23" s="1"/>
  <c r="M8" i="22"/>
  <c r="L8"/>
  <c r="I11" i="23" s="1"/>
  <c r="G89" i="18" l="1"/>
  <c r="F89"/>
  <c r="G88"/>
  <c r="F88"/>
  <c r="G86"/>
  <c r="F8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G76"/>
  <c r="F76"/>
  <c r="E76"/>
  <c r="D76"/>
  <c r="M82" l="1"/>
  <c r="L6" i="22"/>
  <c r="G15" i="18"/>
  <c r="F15"/>
  <c r="L14" i="22" l="1"/>
  <c r="I7" i="23"/>
  <c r="J16" i="18"/>
  <c r="M6" i="22" s="1"/>
  <c r="M14" s="1"/>
  <c r="I18" i="23" l="1"/>
  <c r="I22" s="1"/>
  <c r="G144" i="18"/>
  <c r="G145"/>
  <c r="F145"/>
  <c r="F144"/>
  <c r="G142"/>
  <c r="F142"/>
  <c r="F133"/>
  <c r="G133"/>
  <c r="F134"/>
  <c r="G134"/>
  <c r="F135"/>
  <c r="G135"/>
  <c r="F136"/>
  <c r="G136"/>
  <c r="F137"/>
  <c r="G137"/>
  <c r="F138"/>
  <c r="G138"/>
  <c r="G132"/>
  <c r="F132"/>
  <c r="I17" i="23" l="1"/>
  <c r="I21" s="1"/>
  <c r="I23" s="1"/>
  <c r="I19"/>
  <c r="G126" i="18"/>
  <c r="F126"/>
  <c r="G125"/>
  <c r="F125"/>
  <c r="G123"/>
  <c r="F123"/>
  <c r="F114"/>
  <c r="G114"/>
  <c r="F115"/>
  <c r="G115"/>
  <c r="F116"/>
  <c r="G116"/>
  <c r="F117"/>
  <c r="G117"/>
  <c r="F118"/>
  <c r="G118"/>
  <c r="F119"/>
  <c r="G119"/>
  <c r="G113"/>
  <c r="F113"/>
  <c r="G107"/>
  <c r="F107"/>
  <c r="G106"/>
  <c r="F106"/>
  <c r="G104"/>
  <c r="F104"/>
  <c r="F95"/>
  <c r="G95"/>
  <c r="F96"/>
  <c r="G96"/>
  <c r="F97"/>
  <c r="G97"/>
  <c r="F98"/>
  <c r="G98"/>
  <c r="F99"/>
  <c r="G99"/>
  <c r="F100"/>
  <c r="G100"/>
  <c r="G94"/>
  <c r="F94"/>
  <c r="G52" l="1"/>
  <c r="G51"/>
  <c r="F52"/>
  <c r="F51"/>
  <c r="G49"/>
  <c r="F49"/>
  <c r="F40"/>
  <c r="G40"/>
  <c r="F41"/>
  <c r="G41"/>
  <c r="F42"/>
  <c r="G42"/>
  <c r="F43"/>
  <c r="G43"/>
  <c r="F44"/>
  <c r="G44"/>
  <c r="F45"/>
  <c r="G45"/>
  <c r="G39"/>
  <c r="F39"/>
  <c r="G34" l="1"/>
  <c r="F34"/>
  <c r="G33"/>
  <c r="F33"/>
  <c r="G31"/>
  <c r="F31"/>
  <c r="F22"/>
  <c r="G22"/>
  <c r="F23"/>
  <c r="G23"/>
  <c r="F24"/>
  <c r="G24"/>
  <c r="F25"/>
  <c r="G25"/>
  <c r="F26"/>
  <c r="G26"/>
  <c r="F27"/>
  <c r="G27"/>
  <c r="G21"/>
  <c r="F21"/>
  <c r="H15"/>
  <c r="D132" l="1"/>
  <c r="E132"/>
  <c r="D133"/>
  <c r="E133"/>
  <c r="D134"/>
  <c r="E134"/>
  <c r="D135"/>
  <c r="E135"/>
  <c r="D136"/>
  <c r="E136"/>
  <c r="D137"/>
  <c r="E137"/>
  <c r="D138"/>
  <c r="E138"/>
  <c r="M137" l="1"/>
  <c r="H134"/>
  <c r="J134" s="1"/>
  <c r="H137"/>
  <c r="J137" s="1"/>
  <c r="H133"/>
  <c r="J133" s="1"/>
  <c r="I134"/>
  <c r="K134" s="1"/>
  <c r="H132"/>
  <c r="J132" s="1"/>
  <c r="H136"/>
  <c r="J136" s="1"/>
  <c r="I138"/>
  <c r="K138" s="1"/>
  <c r="H144"/>
  <c r="J144" s="1"/>
  <c r="I135"/>
  <c r="K135" s="1"/>
  <c r="H135"/>
  <c r="J135" s="1"/>
  <c r="I136"/>
  <c r="K136" s="1"/>
  <c r="I132"/>
  <c r="H145"/>
  <c r="J145" s="1"/>
  <c r="H142"/>
  <c r="I137"/>
  <c r="K137" s="1"/>
  <c r="I133"/>
  <c r="K133" s="1"/>
  <c r="D113"/>
  <c r="E113"/>
  <c r="D114"/>
  <c r="E114"/>
  <c r="D115"/>
  <c r="E115"/>
  <c r="D116"/>
  <c r="E116"/>
  <c r="D117"/>
  <c r="E117"/>
  <c r="D118"/>
  <c r="E118"/>
  <c r="D119"/>
  <c r="E119"/>
  <c r="M119" l="1"/>
  <c r="H140"/>
  <c r="H147" s="1"/>
  <c r="I114"/>
  <c r="K114" s="1"/>
  <c r="J139"/>
  <c r="D13" i="22" s="1"/>
  <c r="I117" i="18"/>
  <c r="K117" s="1"/>
  <c r="H113"/>
  <c r="I118"/>
  <c r="K118" s="1"/>
  <c r="H117"/>
  <c r="J117" s="1"/>
  <c r="I113"/>
  <c r="K113" s="1"/>
  <c r="H123"/>
  <c r="I139"/>
  <c r="C13" i="22" s="1"/>
  <c r="D16" i="23" s="1"/>
  <c r="K132" i="18"/>
  <c r="K139" s="1"/>
  <c r="E13" i="22" s="1"/>
  <c r="I119" i="18"/>
  <c r="K119" s="1"/>
  <c r="I115"/>
  <c r="K115" s="1"/>
  <c r="H126"/>
  <c r="J126" s="1"/>
  <c r="H114"/>
  <c r="J114" s="1"/>
  <c r="H115"/>
  <c r="J115" s="1"/>
  <c r="J142"/>
  <c r="G13" i="22" s="1"/>
  <c r="F13"/>
  <c r="F16" i="23" s="1"/>
  <c r="I116" i="18"/>
  <c r="K116" s="1"/>
  <c r="K13" i="22"/>
  <c r="J13"/>
  <c r="H16" i="23" s="1"/>
  <c r="I13" i="22"/>
  <c r="H13"/>
  <c r="G16" i="23" s="1"/>
  <c r="H118" i="18"/>
  <c r="J118" s="1"/>
  <c r="H125"/>
  <c r="J125" s="1"/>
  <c r="H116"/>
  <c r="J116" s="1"/>
  <c r="H139"/>
  <c r="B13" i="22" s="1"/>
  <c r="C16" i="23" s="1"/>
  <c r="D94" i="18"/>
  <c r="E94"/>
  <c r="D95"/>
  <c r="E95"/>
  <c r="D96"/>
  <c r="E96"/>
  <c r="D97"/>
  <c r="E97"/>
  <c r="D98"/>
  <c r="E98"/>
  <c r="D99"/>
  <c r="E99"/>
  <c r="D100"/>
  <c r="E100"/>
  <c r="E16" i="23" l="1"/>
  <c r="J16" s="1"/>
  <c r="M100" i="18"/>
  <c r="O13" i="22"/>
  <c r="N13"/>
  <c r="J140" i="18"/>
  <c r="J148" s="1"/>
  <c r="J113"/>
  <c r="J121" s="1"/>
  <c r="H121"/>
  <c r="H128" s="1"/>
  <c r="H96"/>
  <c r="J96" s="1"/>
  <c r="I97"/>
  <c r="K97" s="1"/>
  <c r="H120"/>
  <c r="B12" i="22" s="1"/>
  <c r="C15" i="23" s="1"/>
  <c r="H106" i="18"/>
  <c r="H97"/>
  <c r="J97" s="1"/>
  <c r="I98"/>
  <c r="K98" s="1"/>
  <c r="I94"/>
  <c r="J123"/>
  <c r="G12" i="22" s="1"/>
  <c r="F12"/>
  <c r="F15" i="23" s="1"/>
  <c r="H104" i="18"/>
  <c r="H94"/>
  <c r="I12" i="22"/>
  <c r="H12"/>
  <c r="G15" i="23" s="1"/>
  <c r="K120" i="18"/>
  <c r="E12" i="22" s="1"/>
  <c r="K12"/>
  <c r="J12"/>
  <c r="H15" i="23" s="1"/>
  <c r="I99" i="18"/>
  <c r="K99" s="1"/>
  <c r="I95"/>
  <c r="K95" s="1"/>
  <c r="I120"/>
  <c r="C12" i="22" s="1"/>
  <c r="D15" i="23" s="1"/>
  <c r="H98" i="18"/>
  <c r="J98" s="1"/>
  <c r="H99"/>
  <c r="J99" s="1"/>
  <c r="H95"/>
  <c r="H107"/>
  <c r="J107" s="1"/>
  <c r="I100"/>
  <c r="K100" s="1"/>
  <c r="I96"/>
  <c r="K96" s="1"/>
  <c r="E15" i="23" l="1"/>
  <c r="J15" s="1"/>
  <c r="J106" i="18"/>
  <c r="I11" i="22" s="1"/>
  <c r="J129" i="18"/>
  <c r="N12" i="22"/>
  <c r="H11"/>
  <c r="G14" i="23" s="1"/>
  <c r="J120" i="18"/>
  <c r="D12" i="22" s="1"/>
  <c r="O12" s="1"/>
  <c r="H102" i="18"/>
  <c r="H109" s="1"/>
  <c r="H86"/>
  <c r="J86" s="1"/>
  <c r="G10" i="22" s="1"/>
  <c r="I81" i="18"/>
  <c r="K81" s="1"/>
  <c r="H81"/>
  <c r="J81" s="1"/>
  <c r="H89"/>
  <c r="H80"/>
  <c r="J80" s="1"/>
  <c r="I77"/>
  <c r="K77" s="1"/>
  <c r="H76"/>
  <c r="H77"/>
  <c r="J77" s="1"/>
  <c r="J94"/>
  <c r="H101"/>
  <c r="B11" i="22" s="1"/>
  <c r="C14" i="23" s="1"/>
  <c r="I82" i="18"/>
  <c r="K82" s="1"/>
  <c r="H88"/>
  <c r="J88" s="1"/>
  <c r="H78"/>
  <c r="J78" s="1"/>
  <c r="J95"/>
  <c r="J104"/>
  <c r="G11" i="22" s="1"/>
  <c r="F11"/>
  <c r="F14" i="23" s="1"/>
  <c r="I79" i="18"/>
  <c r="K79" s="1"/>
  <c r="I78"/>
  <c r="K78" s="1"/>
  <c r="H79"/>
  <c r="J79" s="1"/>
  <c r="K11" i="22"/>
  <c r="J11"/>
  <c r="H14" i="23" s="1"/>
  <c r="I80" i="18"/>
  <c r="K80" s="1"/>
  <c r="I76"/>
  <c r="K94"/>
  <c r="K101" s="1"/>
  <c r="E11" i="22" s="1"/>
  <c r="I101" i="18"/>
  <c r="C11" i="22" s="1"/>
  <c r="D14" i="23" s="1"/>
  <c r="E14" l="1"/>
  <c r="J14" s="1"/>
  <c r="N11" i="22"/>
  <c r="J89" i="18"/>
  <c r="K10" i="22" s="1"/>
  <c r="J102" i="18"/>
  <c r="F10" i="22"/>
  <c r="F13" i="23" s="1"/>
  <c r="J76" i="18"/>
  <c r="J83" s="1"/>
  <c r="D10" i="22" s="1"/>
  <c r="H84" i="18"/>
  <c r="H90" s="1"/>
  <c r="J10" i="22"/>
  <c r="H13" i="23" s="1"/>
  <c r="H59" i="18"/>
  <c r="J59" s="1"/>
  <c r="H63"/>
  <c r="J63" s="1"/>
  <c r="I60"/>
  <c r="K60" s="1"/>
  <c r="H60"/>
  <c r="J60" s="1"/>
  <c r="I64"/>
  <c r="K64" s="1"/>
  <c r="J101"/>
  <c r="D11" i="22" s="1"/>
  <c r="O11" s="1"/>
  <c r="I61" i="18"/>
  <c r="K61" s="1"/>
  <c r="H61"/>
  <c r="J61" s="1"/>
  <c r="K76"/>
  <c r="K83" s="1"/>
  <c r="E10" i="22" s="1"/>
  <c r="I83" i="18"/>
  <c r="C10" i="22" s="1"/>
  <c r="D13" i="23" s="1"/>
  <c r="H83" i="18"/>
  <c r="B10" i="22" s="1"/>
  <c r="C13" i="23" s="1"/>
  <c r="H70" i="18"/>
  <c r="J70" s="1"/>
  <c r="I62"/>
  <c r="K62" s="1"/>
  <c r="I58"/>
  <c r="H71"/>
  <c r="J71" s="1"/>
  <c r="H68"/>
  <c r="H62"/>
  <c r="J62" s="1"/>
  <c r="H58"/>
  <c r="I63"/>
  <c r="K63" s="1"/>
  <c r="I59"/>
  <c r="K59" s="1"/>
  <c r="I10" i="22"/>
  <c r="H10"/>
  <c r="G13" i="23" s="1"/>
  <c r="D39" i="18"/>
  <c r="E39"/>
  <c r="D40"/>
  <c r="E40"/>
  <c r="D41"/>
  <c r="E41"/>
  <c r="D42"/>
  <c r="E42"/>
  <c r="D43"/>
  <c r="E43"/>
  <c r="D44"/>
  <c r="E44"/>
  <c r="I44" s="1"/>
  <c r="K44" s="1"/>
  <c r="D45"/>
  <c r="E45"/>
  <c r="E13" i="23" l="1"/>
  <c r="J13" s="1"/>
  <c r="H39" i="18"/>
  <c r="J39" s="1"/>
  <c r="M45"/>
  <c r="J110"/>
  <c r="N10" i="22"/>
  <c r="O10"/>
  <c r="J84" i="18"/>
  <c r="H66"/>
  <c r="H72" s="1"/>
  <c r="H44"/>
  <c r="J44" s="1"/>
  <c r="I39"/>
  <c r="K39" s="1"/>
  <c r="I43"/>
  <c r="K43" s="1"/>
  <c r="H49"/>
  <c r="J49" s="1"/>
  <c r="G8" i="22" s="1"/>
  <c r="H43" i="18"/>
  <c r="J43" s="1"/>
  <c r="I40"/>
  <c r="K40" s="1"/>
  <c r="H40"/>
  <c r="J40" s="1"/>
  <c r="H52"/>
  <c r="I45"/>
  <c r="K45" s="1"/>
  <c r="H51"/>
  <c r="J51" s="1"/>
  <c r="H41"/>
  <c r="J41" s="1"/>
  <c r="J68"/>
  <c r="G9" i="22" s="1"/>
  <c r="F9"/>
  <c r="F12" i="23" s="1"/>
  <c r="I42" i="18"/>
  <c r="K42" s="1"/>
  <c r="K9" i="22"/>
  <c r="J9"/>
  <c r="H12" i="23" s="1"/>
  <c r="I9" i="22"/>
  <c r="H9"/>
  <c r="G12" i="23" s="1"/>
  <c r="I41" i="18"/>
  <c r="K41" s="1"/>
  <c r="H42"/>
  <c r="J42" s="1"/>
  <c r="J58"/>
  <c r="H65"/>
  <c r="B9" i="22" s="1"/>
  <c r="C12" i="23" s="1"/>
  <c r="E12" s="1"/>
  <c r="I65" i="18"/>
  <c r="C9" i="22" s="1"/>
  <c r="D12" i="23" s="1"/>
  <c r="K58" i="18"/>
  <c r="K65" s="1"/>
  <c r="E9" i="22" s="1"/>
  <c r="D21" i="18"/>
  <c r="E21"/>
  <c r="D22"/>
  <c r="E22"/>
  <c r="D23"/>
  <c r="E23"/>
  <c r="D24"/>
  <c r="E24"/>
  <c r="D25"/>
  <c r="E25"/>
  <c r="D26"/>
  <c r="E26"/>
  <c r="D27"/>
  <c r="E27"/>
  <c r="J12" i="23" l="1"/>
  <c r="M27" i="18"/>
  <c r="J52"/>
  <c r="K8" i="22" s="1"/>
  <c r="J91" i="18"/>
  <c r="F8" i="22"/>
  <c r="F11" i="23" s="1"/>
  <c r="N9" i="22"/>
  <c r="J66" i="18"/>
  <c r="J73" s="1"/>
  <c r="J47"/>
  <c r="H47"/>
  <c r="H54" s="1"/>
  <c r="I21"/>
  <c r="K21" s="1"/>
  <c r="J8" i="22"/>
  <c r="H11" i="23" s="1"/>
  <c r="H21" i="18"/>
  <c r="H24"/>
  <c r="J24" s="1"/>
  <c r="I25"/>
  <c r="K25" s="1"/>
  <c r="H25"/>
  <c r="J25" s="1"/>
  <c r="I46"/>
  <c r="C8" i="22" s="1"/>
  <c r="D11" i="23" s="1"/>
  <c r="I26" i="18"/>
  <c r="K26" s="1"/>
  <c r="I22"/>
  <c r="K22" s="1"/>
  <c r="J65"/>
  <c r="D9" i="22" s="1"/>
  <c r="O9" s="1"/>
  <c r="I8"/>
  <c r="H8"/>
  <c r="G11" i="23" s="1"/>
  <c r="H26" i="18"/>
  <c r="J26" s="1"/>
  <c r="H22"/>
  <c r="J22" s="1"/>
  <c r="J46"/>
  <c r="D8" i="22" s="1"/>
  <c r="H34" i="18"/>
  <c r="J34" s="1"/>
  <c r="I27"/>
  <c r="K27" s="1"/>
  <c r="I23"/>
  <c r="K23" s="1"/>
  <c r="H31"/>
  <c r="H33"/>
  <c r="J33" s="1"/>
  <c r="H23"/>
  <c r="J23" s="1"/>
  <c r="H46"/>
  <c r="B8" i="22" s="1"/>
  <c r="C11" i="23" s="1"/>
  <c r="E11" s="1"/>
  <c r="I24" i="18"/>
  <c r="K24" s="1"/>
  <c r="K46"/>
  <c r="E8" i="22" s="1"/>
  <c r="D5" i="18"/>
  <c r="E5"/>
  <c r="D6"/>
  <c r="E6"/>
  <c r="D7"/>
  <c r="E7"/>
  <c r="D8"/>
  <c r="E8"/>
  <c r="D9"/>
  <c r="E9"/>
  <c r="D10"/>
  <c r="E10"/>
  <c r="D11"/>
  <c r="E11"/>
  <c r="J11" i="23" l="1"/>
  <c r="M11" i="18"/>
  <c r="M150" s="1"/>
  <c r="J55"/>
  <c r="O8" i="22"/>
  <c r="N8"/>
  <c r="J21" i="18"/>
  <c r="J29" s="1"/>
  <c r="H29"/>
  <c r="H35" s="1"/>
  <c r="H28"/>
  <c r="B7" i="22" s="1"/>
  <c r="C10" i="23" s="1"/>
  <c r="I7" i="22"/>
  <c r="I14" s="1"/>
  <c r="H7"/>
  <c r="K7"/>
  <c r="K14" s="1"/>
  <c r="J7"/>
  <c r="J31" i="18"/>
  <c r="G7" i="22" s="1"/>
  <c r="F7"/>
  <c r="F10" i="23" s="1"/>
  <c r="I28" i="18"/>
  <c r="C7" i="22" s="1"/>
  <c r="D10" i="23" s="1"/>
  <c r="D17" s="1"/>
  <c r="D21" s="1"/>
  <c r="J15" i="18"/>
  <c r="G6" i="22" s="1"/>
  <c r="K28" i="18"/>
  <c r="E7" i="22" s="1"/>
  <c r="H14" l="1"/>
  <c r="G10" i="23"/>
  <c r="J14" i="22"/>
  <c r="H10" i="23"/>
  <c r="E10"/>
  <c r="N7" i="22"/>
  <c r="J28" i="18"/>
  <c r="D7" i="22" s="1"/>
  <c r="O7" s="1"/>
  <c r="F6"/>
  <c r="J36" i="18"/>
  <c r="G14" i="22"/>
  <c r="H17" i="23" l="1"/>
  <c r="H21" s="1"/>
  <c r="H23" s="1"/>
  <c r="H19"/>
  <c r="F14" i="22"/>
  <c r="F7" i="23"/>
  <c r="G17"/>
  <c r="G21" s="1"/>
  <c r="G23" s="1"/>
  <c r="G19"/>
  <c r="J10"/>
  <c r="G6" i="18"/>
  <c r="I6" s="1"/>
  <c r="K6" s="1"/>
  <c r="F8" i="23" l="1"/>
  <c r="F9"/>
  <c r="F18" s="1"/>
  <c r="F22" s="1"/>
  <c r="G7" i="18"/>
  <c r="I7" s="1"/>
  <c r="K7" s="1"/>
  <c r="G11"/>
  <c r="I11" s="1"/>
  <c r="K11" s="1"/>
  <c r="G8"/>
  <c r="I8" s="1"/>
  <c r="K8" s="1"/>
  <c r="G10"/>
  <c r="I10" s="1"/>
  <c r="K10" s="1"/>
  <c r="G5"/>
  <c r="I5" s="1"/>
  <c r="G9"/>
  <c r="I9" s="1"/>
  <c r="K9" s="1"/>
  <c r="F17" i="23" l="1"/>
  <c r="F21" s="1"/>
  <c r="F23" s="1"/>
  <c r="F19"/>
  <c r="K5" i="18"/>
  <c r="K12" s="1"/>
  <c r="E6" i="22" s="1"/>
  <c r="E14" s="1"/>
  <c r="I12" i="18"/>
  <c r="C6" i="22" s="1"/>
  <c r="C14" l="1"/>
  <c r="D7" i="23"/>
  <c r="D9" s="1"/>
  <c r="F6" i="18"/>
  <c r="H6" s="1"/>
  <c r="J6" s="1"/>
  <c r="D19" i="23" l="1"/>
  <c r="D18"/>
  <c r="D22" s="1"/>
  <c r="D23" s="1"/>
  <c r="F11" i="18"/>
  <c r="H11" s="1"/>
  <c r="J11" s="1"/>
  <c r="F8"/>
  <c r="H8" s="1"/>
  <c r="J8" s="1"/>
  <c r="F10" l="1"/>
  <c r="H10" s="1"/>
  <c r="J10" s="1"/>
  <c r="F7"/>
  <c r="H7" s="1"/>
  <c r="J7" s="1"/>
  <c r="F5"/>
  <c r="H5" s="1"/>
  <c r="F9"/>
  <c r="H9" s="1"/>
  <c r="J9" s="1"/>
  <c r="J5" l="1"/>
  <c r="H12"/>
  <c r="B6" i="22" s="1"/>
  <c r="H13" i="18"/>
  <c r="H17" s="1"/>
  <c r="H150" s="1"/>
  <c r="N6" i="22" l="1"/>
  <c r="N14" s="1"/>
  <c r="C7" i="23"/>
  <c r="J13" i="18"/>
  <c r="J12"/>
  <c r="D6" i="22" s="1"/>
  <c r="O6" s="1"/>
  <c r="O14" s="1"/>
  <c r="B14"/>
  <c r="C8" i="23" l="1"/>
  <c r="C9"/>
  <c r="E7"/>
  <c r="J7" s="1"/>
  <c r="J18" i="18"/>
  <c r="J151" s="1"/>
  <c r="D14" i="22"/>
  <c r="E8" i="23" l="1"/>
  <c r="C17"/>
  <c r="C21" s="1"/>
  <c r="C19"/>
  <c r="C18"/>
  <c r="C22" s="1"/>
  <c r="E22" s="1"/>
  <c r="E9"/>
  <c r="J8" l="1"/>
  <c r="J19" s="1"/>
  <c r="E19"/>
  <c r="E17"/>
  <c r="J17" s="1"/>
  <c r="C23"/>
  <c r="E21"/>
  <c r="J21" s="1"/>
  <c r="J23" s="1"/>
  <c r="J22"/>
  <c r="J9"/>
  <c r="E18"/>
  <c r="J18" s="1"/>
  <c r="E23" l="1"/>
</calcChain>
</file>

<file path=xl/sharedStrings.xml><?xml version="1.0" encoding="utf-8"?>
<sst xmlns="http://schemas.openxmlformats.org/spreadsheetml/2006/main" count="334" uniqueCount="70">
  <si>
    <t>Polo</t>
  </si>
  <si>
    <t>Fixo</t>
  </si>
  <si>
    <t>Volante</t>
  </si>
  <si>
    <t xml:space="preserve">Valor Estimado Mão de Obra </t>
  </si>
  <si>
    <t>Valor Estimado Contratação</t>
  </si>
  <si>
    <t>Mensal</t>
  </si>
  <si>
    <t>Anual</t>
  </si>
  <si>
    <t>Total</t>
  </si>
  <si>
    <t>Teresina</t>
  </si>
  <si>
    <t>Floriano</t>
  </si>
  <si>
    <t>Picos</t>
  </si>
  <si>
    <t>São João do Piauí</t>
  </si>
  <si>
    <t>PLANILHA RESUMO POLOS - SEM DESONERAÇÃO</t>
  </si>
  <si>
    <t>VALOR TOTAL MENSAL ESTIMADO</t>
  </si>
  <si>
    <t>VALOR TOTAL ANUAL ESTIMADO</t>
  </si>
  <si>
    <t>Valor Estimado - Materiais e Equipamentos</t>
  </si>
  <si>
    <t>Valor Estimado - Deslocamento</t>
  </si>
  <si>
    <t>Valor Estimado - Estadia</t>
  </si>
  <si>
    <t>Água Branca</t>
  </si>
  <si>
    <t>Campo Maior</t>
  </si>
  <si>
    <t>Parnaíba</t>
  </si>
  <si>
    <t>PLANILHA POLO - SEM DESONERAÇÃO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</si>
  <si>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</si>
  <si>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</si>
  <si>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</si>
  <si>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</si>
  <si>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</si>
  <si>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Volante (h)</t>
  </si>
  <si>
    <t>Volante (h/mês)</t>
  </si>
  <si>
    <t>Volante (h/ano)</t>
  </si>
  <si>
    <t>Valor mensal estimado ........................................................................</t>
  </si>
  <si>
    <t>Total Anual estimado ...........................................................................</t>
  </si>
  <si>
    <t>Subtotal Mão-de-Obra</t>
  </si>
  <si>
    <t>Total Mão-de-Obra</t>
  </si>
  <si>
    <t>Materiais e Equipamentos</t>
  </si>
  <si>
    <t>Tec. Eletrônica</t>
  </si>
  <si>
    <t>Tec. Eletrotécnica</t>
  </si>
  <si>
    <t>Serv. Gerais</t>
  </si>
  <si>
    <t>Aux. Serv. Gerais</t>
  </si>
  <si>
    <t>Supervisor</t>
  </si>
  <si>
    <t>Tec. Refrigeração</t>
  </si>
  <si>
    <t>Tec. Eletromecânica</t>
  </si>
  <si>
    <t>BDI (15,28%)</t>
  </si>
  <si>
    <t>Deslocamento (Km)</t>
  </si>
  <si>
    <t>Estadia (Unid)</t>
  </si>
  <si>
    <t>TERESINA</t>
  </si>
  <si>
    <t>ÁGUA BRANCA</t>
  </si>
  <si>
    <t>CAMPO MAIOR</t>
  </si>
  <si>
    <t>FLORIANO</t>
  </si>
  <si>
    <t>PARNAÍBA</t>
  </si>
  <si>
    <t>PICOS</t>
  </si>
  <si>
    <t>SÃO JOÃO DO PIAUÍ</t>
  </si>
  <si>
    <t>Quant.</t>
  </si>
  <si>
    <t>Valor unit.(R$)</t>
  </si>
  <si>
    <t>BOM JESUS</t>
  </si>
  <si>
    <t>Bom Jesus</t>
  </si>
  <si>
    <t>Manutenção de Elevadores</t>
  </si>
  <si>
    <t>Valor Estimado - Manutenção de Elevadores</t>
  </si>
  <si>
    <t xml:space="preserve">Mão de Obra </t>
  </si>
  <si>
    <t xml:space="preserve">Total </t>
  </si>
  <si>
    <t xml:space="preserve">Teresina </t>
  </si>
  <si>
    <t>Teresina - 1º Grau</t>
  </si>
  <si>
    <t>Teresina - 2º Grau</t>
  </si>
  <si>
    <t>PLANILHA DISCRICIONÁRIA DE VALORES A SEREM PAGOS PARA 1º E 2º GRAU</t>
  </si>
  <si>
    <t>Total 1º Grau - Mensal</t>
  </si>
  <si>
    <t>Total 2º Grau - Mensal</t>
  </si>
  <si>
    <t>Total - Mensal</t>
  </si>
  <si>
    <t>Total 1º Grau - Anual</t>
  </si>
  <si>
    <t>Total 2º Grau - Anual</t>
  </si>
  <si>
    <t>Total - Anual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</si>
</sst>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R$-416]\ #,##0.00;\-[$R$-416]\ #,##0.00"/>
    <numFmt numFmtId="165" formatCode="0.0"/>
    <numFmt numFmtId="166" formatCode="_-* #,##0.00_-;\-* #,##0.00_-;_-* \-??_-;_-@_-"/>
    <numFmt numFmtId="167" formatCode="&quot;R$ &quot;#,##0.00;&quot;-R$ &quot;#,##0.00"/>
    <numFmt numFmtId="168" formatCode="_-&quot;R$ &quot;* #,##0.00_-;&quot;-R$ &quot;* #,##0.00_-;_-&quot;R$ &quot;* \-??_-;_-@_-"/>
    <numFmt numFmtId="169" formatCode="&quot;R$ &quot;#,##0.00"/>
    <numFmt numFmtId="170" formatCode="&quot;R$ &quot;#,##0.00;[Red]&quot;-R$ &quot;#,##0.00"/>
  </numFmts>
  <fonts count="22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1"/>
    </font>
    <font>
      <sz val="16"/>
      <name val="Arial Nova Cond"/>
      <family val="2"/>
      <charset val="1"/>
    </font>
    <font>
      <sz val="10"/>
      <name val="Arial Nova Cond"/>
      <family val="2"/>
      <charset val="1"/>
    </font>
    <font>
      <sz val="11"/>
      <color rgb="FF000000"/>
      <name val="Arial Nova Cond"/>
      <family val="2"/>
      <charset val="1"/>
    </font>
    <font>
      <b/>
      <sz val="9"/>
      <name val="Arial Nova Cond"/>
      <family val="2"/>
      <charset val="1"/>
    </font>
    <font>
      <b/>
      <sz val="10"/>
      <name val="Arial Nova Cond"/>
      <family val="2"/>
      <charset val="1"/>
    </font>
    <font>
      <b/>
      <sz val="11"/>
      <color rgb="FF000000"/>
      <name val="Arial Nova Cond"/>
      <family val="2"/>
      <charset val="1"/>
    </font>
    <font>
      <sz val="9"/>
      <color rgb="FF000000"/>
      <name val="Cambria"/>
      <family val="1"/>
      <charset val="1"/>
    </font>
    <font>
      <sz val="11"/>
      <color rgb="FF000000"/>
      <name val="Arial Nova Cond"/>
    </font>
    <font>
      <b/>
      <sz val="11"/>
      <color rgb="FF000000"/>
      <name val="Arial Nova Cond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168" fontId="3" fillId="0" borderId="0" applyFill="0" applyBorder="0" applyAlignment="0" applyProtection="0"/>
    <xf numFmtId="0" fontId="2" fillId="0" borderId="0"/>
    <xf numFmtId="0" fontId="3" fillId="0" borderId="0"/>
    <xf numFmtId="43" fontId="1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3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12" fillId="0" borderId="0"/>
    <xf numFmtId="166" fontId="12" fillId="0" borderId="0" applyBorder="0" applyProtection="0"/>
  </cellStyleXfs>
  <cellXfs count="177">
    <xf numFmtId="0" fontId="0" fillId="0" borderId="0" xfId="0"/>
    <xf numFmtId="0" fontId="3" fillId="0" borderId="0" xfId="3"/>
    <xf numFmtId="0" fontId="7" fillId="0" borderId="4" xfId="3" applyFont="1" applyFill="1" applyBorder="1" applyAlignment="1">
      <alignment horizontal="center" vertical="top" wrapText="1"/>
    </xf>
    <xf numFmtId="166" fontId="6" fillId="0" borderId="3" xfId="7" applyFont="1" applyFill="1" applyBorder="1" applyAlignment="1" applyProtection="1">
      <alignment horizontal="center" vertical="top" wrapText="1"/>
    </xf>
    <xf numFmtId="166" fontId="6" fillId="0" borderId="1" xfId="7" applyFont="1" applyFill="1" applyBorder="1" applyAlignment="1" applyProtection="1">
      <alignment horizontal="center" vertical="top" wrapText="1"/>
    </xf>
    <xf numFmtId="166" fontId="6" fillId="0" borderId="38" xfId="7" applyFont="1" applyFill="1" applyBorder="1" applyAlignment="1" applyProtection="1">
      <alignment horizontal="center" vertical="top" wrapText="1"/>
    </xf>
    <xf numFmtId="166" fontId="6" fillId="0" borderId="40" xfId="7" applyFont="1" applyFill="1" applyBorder="1" applyAlignment="1" applyProtection="1">
      <alignment horizontal="center" vertical="top" wrapText="1"/>
    </xf>
    <xf numFmtId="166" fontId="6" fillId="0" borderId="34" xfId="7" applyFont="1" applyFill="1" applyBorder="1" applyAlignment="1" applyProtection="1">
      <alignment horizontal="center" vertical="top" wrapText="1"/>
    </xf>
    <xf numFmtId="0" fontId="6" fillId="0" borderId="17" xfId="3" applyFont="1" applyFill="1" applyBorder="1" applyAlignment="1">
      <alignment vertical="top" wrapText="1"/>
    </xf>
    <xf numFmtId="166" fontId="6" fillId="0" borderId="0" xfId="7" applyFont="1" applyFill="1" applyBorder="1" applyAlignment="1" applyProtection="1">
      <alignment horizontal="center" vertical="top" wrapText="1"/>
    </xf>
    <xf numFmtId="166" fontId="6" fillId="0" borderId="37" xfId="7" applyFont="1" applyFill="1" applyBorder="1" applyAlignment="1" applyProtection="1">
      <alignment horizontal="center" vertical="top" wrapText="1"/>
    </xf>
    <xf numFmtId="0" fontId="6" fillId="0" borderId="13" xfId="3" applyFont="1" applyFill="1" applyBorder="1" applyAlignment="1">
      <alignment vertical="top" wrapText="1"/>
    </xf>
    <xf numFmtId="0" fontId="7" fillId="0" borderId="17" xfId="3" applyFont="1" applyFill="1" applyBorder="1" applyAlignment="1">
      <alignment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 wrapText="1"/>
    </xf>
    <xf numFmtId="166" fontId="6" fillId="0" borderId="12" xfId="7" applyFont="1" applyFill="1" applyBorder="1" applyAlignment="1" applyProtection="1">
      <alignment horizontal="center" vertical="top" wrapText="1"/>
    </xf>
    <xf numFmtId="166" fontId="6" fillId="0" borderId="45" xfId="7" applyFont="1" applyFill="1" applyBorder="1" applyAlignment="1" applyProtection="1">
      <alignment horizontal="center" vertical="top" wrapText="1"/>
    </xf>
    <xf numFmtId="166" fontId="6" fillId="0" borderId="7" xfId="7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center" vertical="top" wrapText="1"/>
    </xf>
    <xf numFmtId="166" fontId="6" fillId="0" borderId="27" xfId="7" applyFont="1" applyFill="1" applyBorder="1" applyAlignment="1" applyProtection="1">
      <alignment horizontal="center" vertical="top" wrapText="1"/>
    </xf>
    <xf numFmtId="0" fontId="7" fillId="0" borderId="3" xfId="3" applyFont="1" applyFill="1" applyBorder="1" applyAlignment="1">
      <alignment vertical="top" wrapText="1"/>
    </xf>
    <xf numFmtId="169" fontId="7" fillId="0" borderId="13" xfId="1" applyNumberFormat="1" applyFont="1" applyFill="1" applyBorder="1" applyAlignment="1" applyProtection="1">
      <alignment horizontal="center" vertical="top" wrapText="1"/>
    </xf>
    <xf numFmtId="169" fontId="7" fillId="0" borderId="14" xfId="1" applyNumberFormat="1" applyFont="1" applyFill="1" applyBorder="1" applyAlignment="1" applyProtection="1">
      <alignment horizontal="center" vertical="top" wrapText="1"/>
    </xf>
    <xf numFmtId="167" fontId="7" fillId="0" borderId="23" xfId="7" applyNumberFormat="1" applyFont="1" applyFill="1" applyBorder="1" applyAlignment="1" applyProtection="1">
      <alignment horizontal="center" vertical="top" wrapText="1" readingOrder="1"/>
    </xf>
    <xf numFmtId="167" fontId="7" fillId="0" borderId="8" xfId="7" applyNumberFormat="1" applyFont="1" applyFill="1" applyBorder="1" applyAlignment="1" applyProtection="1">
      <alignment horizontal="center" vertical="top" wrapText="1" readingOrder="1"/>
    </xf>
    <xf numFmtId="167" fontId="7" fillId="0" borderId="27" xfId="7" applyNumberFormat="1" applyFont="1" applyFill="1" applyBorder="1" applyAlignment="1" applyProtection="1">
      <alignment horizontal="center" vertical="top" wrapText="1" readingOrder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top" wrapText="1"/>
    </xf>
    <xf numFmtId="0" fontId="7" fillId="0" borderId="16" xfId="3" applyFont="1" applyFill="1" applyBorder="1" applyAlignment="1">
      <alignment horizontal="center" vertical="top" wrapText="1"/>
    </xf>
    <xf numFmtId="0" fontId="6" fillId="0" borderId="12" xfId="3" applyFont="1" applyFill="1" applyBorder="1" applyAlignment="1">
      <alignment horizontal="center" vertical="top" wrapText="1"/>
    </xf>
    <xf numFmtId="0" fontId="6" fillId="0" borderId="10" xfId="3" applyFont="1" applyFill="1" applyBorder="1" applyAlignment="1">
      <alignment horizontal="center" vertical="top" wrapText="1"/>
    </xf>
    <xf numFmtId="43" fontId="11" fillId="0" borderId="7" xfId="4" applyFont="1" applyFill="1" applyBorder="1" applyAlignment="1">
      <alignment vertical="top" wrapText="1"/>
    </xf>
    <xf numFmtId="43" fontId="11" fillId="0" borderId="10" xfId="4" applyFont="1" applyFill="1" applyBorder="1" applyAlignment="1">
      <alignment vertical="top" wrapText="1"/>
    </xf>
    <xf numFmtId="169" fontId="7" fillId="0" borderId="10" xfId="1" applyNumberFormat="1" applyFont="1" applyFill="1" applyBorder="1" applyAlignment="1" applyProtection="1">
      <alignment horizontal="center" vertical="top" wrapText="1"/>
    </xf>
    <xf numFmtId="0" fontId="6" fillId="0" borderId="13" xfId="3" applyFont="1" applyFill="1" applyBorder="1" applyAlignment="1">
      <alignment horizontal="center" vertical="top" wrapText="1"/>
    </xf>
    <xf numFmtId="0" fontId="6" fillId="0" borderId="36" xfId="3" applyFont="1" applyFill="1" applyBorder="1" applyAlignment="1">
      <alignment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36" xfId="3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43" fontId="9" fillId="0" borderId="8" xfId="4" applyFont="1" applyFill="1" applyBorder="1" applyAlignment="1">
      <alignment horizontal="center" vertical="top" wrapText="1"/>
    </xf>
    <xf numFmtId="166" fontId="6" fillId="0" borderId="5" xfId="7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43" fontId="8" fillId="0" borderId="8" xfId="4" applyFont="1" applyFill="1" applyBorder="1" applyAlignment="1">
      <alignment horizontal="center" vertical="top" wrapText="1"/>
    </xf>
    <xf numFmtId="0" fontId="13" fillId="0" borderId="0" xfId="10" applyFont="1" applyBorder="1" applyAlignment="1">
      <alignment horizontal="left" vertical="top"/>
    </xf>
    <xf numFmtId="0" fontId="14" fillId="0" borderId="0" xfId="10" applyFont="1" applyBorder="1" applyAlignment="1">
      <alignment horizontal="left" vertical="top"/>
    </xf>
    <xf numFmtId="0" fontId="15" fillId="0" borderId="0" xfId="10" applyFont="1"/>
    <xf numFmtId="0" fontId="12" fillId="0" borderId="0" xfId="10" applyAlignment="1">
      <alignment vertical="center"/>
    </xf>
    <xf numFmtId="0" fontId="16" fillId="0" borderId="46" xfId="10" applyFont="1" applyBorder="1" applyAlignment="1">
      <alignment horizontal="center" vertical="center"/>
    </xf>
    <xf numFmtId="0" fontId="16" fillId="0" borderId="47" xfId="10" applyFont="1" applyBorder="1" applyAlignment="1">
      <alignment horizontal="center" vertical="center"/>
    </xf>
    <xf numFmtId="0" fontId="16" fillId="0" borderId="47" xfId="10" applyFont="1" applyBorder="1" applyAlignment="1">
      <alignment vertical="center"/>
    </xf>
    <xf numFmtId="0" fontId="18" fillId="0" borderId="49" xfId="10" applyFont="1" applyBorder="1" applyAlignment="1">
      <alignment horizontal="center" vertical="center" wrapText="1"/>
    </xf>
    <xf numFmtId="0" fontId="18" fillId="0" borderId="48" xfId="10" applyFont="1" applyBorder="1" applyAlignment="1">
      <alignment horizontal="center" vertical="center" wrapText="1"/>
    </xf>
    <xf numFmtId="0" fontId="18" fillId="0" borderId="50" xfId="10" applyFont="1" applyBorder="1" applyAlignment="1">
      <alignment horizontal="left" vertical="center" wrapText="1"/>
    </xf>
    <xf numFmtId="166" fontId="15" fillId="0" borderId="50" xfId="11" applyFont="1" applyBorder="1" applyAlignment="1" applyProtection="1">
      <alignment horizontal="center" vertical="center" wrapText="1"/>
    </xf>
    <xf numFmtId="166" fontId="15" fillId="0" borderId="51" xfId="11" applyFont="1" applyBorder="1" applyAlignment="1" applyProtection="1">
      <alignment horizontal="center" vertical="center" wrapText="1"/>
    </xf>
    <xf numFmtId="166" fontId="15" fillId="0" borderId="48" xfId="11" applyFont="1" applyBorder="1" applyAlignment="1" applyProtection="1">
      <alignment horizontal="center" vertical="center" wrapText="1"/>
    </xf>
    <xf numFmtId="166" fontId="15" fillId="0" borderId="52" xfId="11" applyFont="1" applyBorder="1" applyAlignment="1" applyProtection="1">
      <alignment horizontal="center" vertical="center" wrapText="1"/>
    </xf>
    <xf numFmtId="166" fontId="18" fillId="0" borderId="49" xfId="11" applyFont="1" applyBorder="1" applyAlignment="1" applyProtection="1">
      <alignment horizontal="center" vertical="center" wrapText="1"/>
    </xf>
    <xf numFmtId="0" fontId="18" fillId="0" borderId="0" xfId="10" applyFont="1" applyBorder="1" applyAlignment="1">
      <alignment horizontal="center" vertical="center" wrapText="1"/>
    </xf>
    <xf numFmtId="166" fontId="18" fillId="0" borderId="0" xfId="11" applyFont="1" applyBorder="1" applyAlignment="1" applyProtection="1">
      <alignment horizontal="center" vertical="center" wrapText="1"/>
    </xf>
    <xf numFmtId="0" fontId="19" fillId="3" borderId="0" xfId="10" applyFont="1" applyFill="1"/>
    <xf numFmtId="0" fontId="12" fillId="0" borderId="0" xfId="10"/>
    <xf numFmtId="0" fontId="18" fillId="4" borderId="49" xfId="10" applyFont="1" applyFill="1" applyBorder="1" applyAlignment="1">
      <alignment horizontal="center" vertical="center" wrapText="1"/>
    </xf>
    <xf numFmtId="0" fontId="18" fillId="4" borderId="46" xfId="10" applyFont="1" applyFill="1" applyBorder="1" applyAlignment="1">
      <alignment horizontal="center" vertical="center" wrapText="1"/>
    </xf>
    <xf numFmtId="0" fontId="18" fillId="4" borderId="48" xfId="10" applyFont="1" applyFill="1" applyBorder="1" applyAlignment="1">
      <alignment horizontal="center" vertical="center" wrapText="1"/>
    </xf>
    <xf numFmtId="0" fontId="18" fillId="4" borderId="47" xfId="10" applyFont="1" applyFill="1" applyBorder="1" applyAlignment="1">
      <alignment horizontal="center" vertical="center" wrapText="1"/>
    </xf>
    <xf numFmtId="0" fontId="21" fillId="4" borderId="48" xfId="10" applyFont="1" applyFill="1" applyBorder="1" applyAlignment="1">
      <alignment horizontal="center" vertical="center" wrapText="1"/>
    </xf>
    <xf numFmtId="166" fontId="21" fillId="4" borderId="48" xfId="11" applyFont="1" applyFill="1" applyBorder="1" applyAlignment="1" applyProtection="1">
      <alignment horizontal="center" vertical="center" wrapText="1"/>
    </xf>
    <xf numFmtId="166" fontId="21" fillId="4" borderId="50" xfId="11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18" fillId="0" borderId="50" xfId="10" applyFont="1" applyBorder="1" applyAlignment="1">
      <alignment horizontal="center" vertical="center" wrapText="1"/>
    </xf>
    <xf numFmtId="166" fontId="18" fillId="0" borderId="48" xfId="11" applyFont="1" applyBorder="1" applyAlignment="1" applyProtection="1">
      <alignment horizontal="center" vertical="center" wrapText="1"/>
    </xf>
    <xf numFmtId="166" fontId="18" fillId="4" borderId="49" xfId="11" applyFont="1" applyFill="1" applyBorder="1" applyAlignment="1" applyProtection="1">
      <alignment horizontal="center" vertical="center" wrapText="1"/>
    </xf>
    <xf numFmtId="166" fontId="20" fillId="0" borderId="48" xfId="11" applyFont="1" applyFill="1" applyBorder="1" applyAlignment="1" applyProtection="1">
      <alignment horizontal="center" vertical="center" wrapText="1"/>
    </xf>
    <xf numFmtId="166" fontId="20" fillId="0" borderId="50" xfId="11" applyFont="1" applyFill="1" applyBorder="1" applyAlignment="1" applyProtection="1">
      <alignment horizontal="center" vertical="center" wrapText="1"/>
    </xf>
    <xf numFmtId="166" fontId="20" fillId="0" borderId="49" xfId="11" applyFont="1" applyBorder="1" applyAlignment="1" applyProtection="1">
      <alignment horizontal="center" vertical="center" wrapText="1"/>
    </xf>
    <xf numFmtId="166" fontId="20" fillId="0" borderId="48" xfId="11" applyFont="1" applyBorder="1" applyAlignment="1" applyProtection="1">
      <alignment horizontal="center" vertical="center" wrapText="1"/>
    </xf>
    <xf numFmtId="167" fontId="7" fillId="0" borderId="27" xfId="7" applyNumberFormat="1" applyFont="1" applyFill="1" applyBorder="1" applyAlignment="1" applyProtection="1">
      <alignment horizontal="center" vertical="top" wrapText="1" readingOrder="1"/>
    </xf>
    <xf numFmtId="167" fontId="7" fillId="0" borderId="3" xfId="7" applyNumberFormat="1" applyFont="1" applyFill="1" applyBorder="1" applyAlignment="1" applyProtection="1">
      <alignment horizontal="center" vertical="top" wrapText="1" readingOrder="1"/>
    </xf>
    <xf numFmtId="0" fontId="3" fillId="0" borderId="10" xfId="3" applyFill="1" applyBorder="1" applyAlignment="1">
      <alignment horizontal="center"/>
    </xf>
    <xf numFmtId="0" fontId="3" fillId="0" borderId="13" xfId="3" applyFill="1" applyBorder="1" applyAlignment="1">
      <alignment horizontal="center"/>
    </xf>
    <xf numFmtId="0" fontId="3" fillId="0" borderId="14" xfId="3" applyFill="1" applyBorder="1" applyAlignment="1">
      <alignment horizontal="center"/>
    </xf>
    <xf numFmtId="0" fontId="6" fillId="0" borderId="10" xfId="3" applyFont="1" applyFill="1" applyBorder="1" applyAlignment="1">
      <alignment horizontal="left" vertical="top" wrapText="1"/>
    </xf>
    <xf numFmtId="0" fontId="6" fillId="0" borderId="13" xfId="3" applyFont="1" applyFill="1" applyBorder="1" applyAlignment="1">
      <alignment horizontal="left" vertical="top" wrapText="1"/>
    </xf>
    <xf numFmtId="167" fontId="7" fillId="0" borderId="18" xfId="7" applyNumberFormat="1" applyFont="1" applyFill="1" applyBorder="1" applyAlignment="1" applyProtection="1">
      <alignment horizontal="center" vertical="top" wrapText="1" readingOrder="1"/>
    </xf>
    <xf numFmtId="167" fontId="7" fillId="0" borderId="28" xfId="7" applyNumberFormat="1" applyFont="1" applyFill="1" applyBorder="1" applyAlignment="1" applyProtection="1">
      <alignment horizontal="center" vertical="top" wrapText="1" readingOrder="1"/>
    </xf>
    <xf numFmtId="169" fontId="7" fillId="0" borderId="13" xfId="1" applyNumberFormat="1" applyFont="1" applyFill="1" applyBorder="1" applyAlignment="1" applyProtection="1">
      <alignment horizontal="center" vertical="top" wrapText="1"/>
    </xf>
    <xf numFmtId="169" fontId="7" fillId="0" borderId="14" xfId="1" applyNumberFormat="1" applyFont="1" applyFill="1" applyBorder="1" applyAlignment="1" applyProtection="1">
      <alignment horizontal="center" vertical="top" wrapText="1"/>
    </xf>
    <xf numFmtId="0" fontId="6" fillId="0" borderId="38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center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6" fillId="0" borderId="39" xfId="3" applyFont="1" applyFill="1" applyBorder="1" applyAlignment="1">
      <alignment horizontal="center" vertical="center" wrapText="1"/>
    </xf>
    <xf numFmtId="167" fontId="7" fillId="0" borderId="13" xfId="1" applyNumberFormat="1" applyFont="1" applyFill="1" applyBorder="1" applyAlignment="1" applyProtection="1">
      <alignment horizontal="center" vertical="top" wrapText="1"/>
    </xf>
    <xf numFmtId="167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9" xfId="3" applyFont="1" applyFill="1" applyBorder="1" applyAlignment="1">
      <alignment horizontal="left" vertical="top" wrapText="1"/>
    </xf>
    <xf numFmtId="0" fontId="7" fillId="0" borderId="20" xfId="3" applyFont="1" applyFill="1" applyBorder="1" applyAlignment="1">
      <alignment horizontal="left" vertical="top" wrapText="1"/>
    </xf>
    <xf numFmtId="167" fontId="7" fillId="0" borderId="10" xfId="1" applyNumberFormat="1" applyFont="1" applyFill="1" applyBorder="1" applyAlignment="1" applyProtection="1">
      <alignment horizontal="center" vertical="top" wrapText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0" fontId="6" fillId="0" borderId="19" xfId="3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top" wrapText="1"/>
    </xf>
    <xf numFmtId="167" fontId="7" fillId="0" borderId="42" xfId="7" applyNumberFormat="1" applyFont="1" applyFill="1" applyBorder="1" applyAlignment="1" applyProtection="1">
      <alignment horizontal="center" vertical="top" wrapText="1" readingOrder="1"/>
    </xf>
    <xf numFmtId="167" fontId="7" fillId="0" borderId="43" xfId="7" applyNumberFormat="1" applyFont="1" applyFill="1" applyBorder="1" applyAlignment="1" applyProtection="1">
      <alignment horizontal="center" vertical="top" wrapText="1" readingOrder="1"/>
    </xf>
    <xf numFmtId="170" fontId="7" fillId="0" borderId="13" xfId="3" applyNumberFormat="1" applyFont="1" applyFill="1" applyBorder="1" applyAlignment="1">
      <alignment horizontal="center" vertical="top" wrapText="1"/>
    </xf>
    <xf numFmtId="170" fontId="7" fillId="0" borderId="14" xfId="3" applyNumberFormat="1" applyFont="1" applyFill="1" applyBorder="1" applyAlignment="1">
      <alignment horizontal="center" vertical="top" wrapText="1"/>
    </xf>
    <xf numFmtId="0" fontId="7" fillId="0" borderId="10" xfId="3" applyFont="1" applyFill="1" applyBorder="1" applyAlignment="1">
      <alignment horizontal="left" vertical="top" wrapText="1"/>
    </xf>
    <xf numFmtId="0" fontId="7" fillId="0" borderId="13" xfId="3" applyFont="1" applyFill="1" applyBorder="1" applyAlignment="1">
      <alignment horizontal="left" vertical="top" wrapText="1"/>
    </xf>
    <xf numFmtId="0" fontId="5" fillId="0" borderId="32" xfId="3" applyFont="1" applyFill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center" vertical="center" wrapText="1"/>
    </xf>
    <xf numFmtId="170" fontId="7" fillId="0" borderId="23" xfId="3" applyNumberFormat="1" applyFont="1" applyFill="1" applyBorder="1" applyAlignment="1">
      <alignment horizontal="center" vertical="top" wrapText="1"/>
    </xf>
    <xf numFmtId="170" fontId="7" fillId="0" borderId="8" xfId="3" applyNumberFormat="1" applyFont="1" applyFill="1" applyBorder="1" applyAlignment="1">
      <alignment horizontal="center" vertical="top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vertical="top" wrapText="1"/>
    </xf>
    <xf numFmtId="0" fontId="6" fillId="0" borderId="15" xfId="3" applyFont="1" applyFill="1" applyBorder="1" applyAlignment="1">
      <alignment vertical="top" wrapText="1"/>
    </xf>
    <xf numFmtId="0" fontId="6" fillId="0" borderId="2" xfId="3" applyFont="1" applyFill="1" applyBorder="1" applyAlignment="1">
      <alignment horizontal="left" vertical="top" wrapText="1"/>
    </xf>
    <xf numFmtId="0" fontId="6" fillId="0" borderId="15" xfId="3" applyFont="1" applyFill="1" applyBorder="1" applyAlignment="1">
      <alignment horizontal="left" vertical="top" wrapText="1"/>
    </xf>
    <xf numFmtId="0" fontId="6" fillId="0" borderId="29" xfId="3" applyFont="1" applyFill="1" applyBorder="1" applyAlignment="1">
      <alignment horizontal="center" vertical="top" wrapText="1"/>
    </xf>
    <xf numFmtId="0" fontId="6" fillId="0" borderId="30" xfId="3" applyFont="1" applyFill="1" applyBorder="1" applyAlignment="1">
      <alignment horizontal="center" vertical="top" wrapText="1"/>
    </xf>
    <xf numFmtId="2" fontId="6" fillId="0" borderId="11" xfId="3" applyNumberFormat="1" applyFont="1" applyFill="1" applyBorder="1" applyAlignment="1">
      <alignment horizontal="center" vertical="top" wrapText="1"/>
    </xf>
    <xf numFmtId="2" fontId="6" fillId="0" borderId="13" xfId="3" applyNumberFormat="1" applyFont="1" applyFill="1" applyBorder="1" applyAlignment="1">
      <alignment horizontal="center" vertical="top" wrapText="1"/>
    </xf>
    <xf numFmtId="0" fontId="6" fillId="0" borderId="33" xfId="3" applyFont="1" applyFill="1" applyBorder="1" applyAlignment="1">
      <alignment horizontal="center" vertical="center" wrapText="1"/>
    </xf>
    <xf numFmtId="169" fontId="7" fillId="0" borderId="10" xfId="1" applyNumberFormat="1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>
      <alignment horizontal="center" vertical="center" wrapText="1"/>
    </xf>
    <xf numFmtId="167" fontId="7" fillId="0" borderId="9" xfId="7" applyNumberFormat="1" applyFont="1" applyFill="1" applyBorder="1" applyAlignment="1" applyProtection="1">
      <alignment horizontal="center" vertical="top" wrapText="1" readingOrder="1"/>
    </xf>
    <xf numFmtId="170" fontId="7" fillId="0" borderId="10" xfId="3" applyNumberFormat="1" applyFont="1" applyFill="1" applyBorder="1" applyAlignment="1">
      <alignment horizontal="center" vertical="top" wrapText="1"/>
    </xf>
    <xf numFmtId="0" fontId="5" fillId="0" borderId="20" xfId="3" applyFont="1" applyFill="1" applyBorder="1" applyAlignment="1">
      <alignment horizontal="center" vertical="center" wrapText="1"/>
    </xf>
    <xf numFmtId="167" fontId="7" fillId="0" borderId="10" xfId="7" applyNumberFormat="1" applyFont="1" applyFill="1" applyBorder="1" applyAlignment="1" applyProtection="1">
      <alignment horizontal="center" vertical="top" wrapText="1" readingOrder="1"/>
    </xf>
    <xf numFmtId="167" fontId="7" fillId="0" borderId="14" xfId="7" applyNumberFormat="1" applyFont="1" applyFill="1" applyBorder="1" applyAlignment="1" applyProtection="1">
      <alignment horizontal="center" vertical="top" wrapText="1" readingOrder="1"/>
    </xf>
    <xf numFmtId="0" fontId="4" fillId="0" borderId="10" xfId="3" applyFont="1" applyFill="1" applyBorder="1" applyAlignment="1">
      <alignment horizontal="center"/>
    </xf>
    <xf numFmtId="0" fontId="4" fillId="0" borderId="13" xfId="3" applyFont="1" applyFill="1" applyBorder="1" applyAlignment="1">
      <alignment horizontal="center"/>
    </xf>
    <xf numFmtId="0" fontId="4" fillId="0" borderId="14" xfId="3" applyFont="1" applyFill="1" applyBorder="1" applyAlignment="1">
      <alignment horizontal="center"/>
    </xf>
    <xf numFmtId="0" fontId="6" fillId="0" borderId="36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167" fontId="7" fillId="0" borderId="23" xfId="7" applyNumberFormat="1" applyFont="1" applyFill="1" applyBorder="1" applyAlignment="1" applyProtection="1">
      <alignment horizontal="center" vertical="top" wrapText="1" readingOrder="1"/>
    </xf>
    <xf numFmtId="167" fontId="7" fillId="0" borderId="8" xfId="7" applyNumberFormat="1" applyFont="1" applyFill="1" applyBorder="1" applyAlignment="1" applyProtection="1">
      <alignment horizontal="center" vertical="top" wrapText="1" readingOrder="1"/>
    </xf>
    <xf numFmtId="0" fontId="7" fillId="0" borderId="14" xfId="3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4" borderId="48" xfId="10" applyFont="1" applyFill="1" applyBorder="1" applyAlignment="1">
      <alignment horizontal="center" vertical="center" wrapText="1"/>
    </xf>
    <xf numFmtId="0" fontId="17" fillId="2" borderId="46" xfId="10" applyFont="1" applyFill="1" applyBorder="1" applyAlignment="1">
      <alignment horizontal="center" vertical="center"/>
    </xf>
    <xf numFmtId="0" fontId="17" fillId="2" borderId="47" xfId="10" applyFont="1" applyFill="1" applyBorder="1" applyAlignment="1">
      <alignment horizontal="center" vertical="center"/>
    </xf>
    <xf numFmtId="0" fontId="17" fillId="2" borderId="53" xfId="10" applyFont="1" applyFill="1" applyBorder="1" applyAlignment="1">
      <alignment horizontal="center" vertical="center"/>
    </xf>
    <xf numFmtId="0" fontId="18" fillId="4" borderId="49" xfId="10" applyFont="1" applyFill="1" applyBorder="1" applyAlignment="1">
      <alignment horizontal="center" vertical="center" wrapText="1"/>
    </xf>
  </cellXfs>
  <cellStyles count="12">
    <cellStyle name="Moeda 2" xfId="1"/>
    <cellStyle name="Normal" xfId="0" builtinId="0"/>
    <cellStyle name="Normal 2" xfId="2"/>
    <cellStyle name="Normal 3" xfId="3"/>
    <cellStyle name="Normal 4" xfId="10"/>
    <cellStyle name="Separador de milhares" xfId="4" builtinId="3"/>
    <cellStyle name="Separador de milhares 2" xfId="5"/>
    <cellStyle name="Separador de milhares 3" xfId="6"/>
    <cellStyle name="Separador de milhares 4" xfId="7"/>
    <cellStyle name="Separador de milhares 5" xfId="11"/>
    <cellStyle name="Separador de milhares 6" xfId="8"/>
    <cellStyle name="Separador de milhares 6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Engenharia/DEPARTAMENTO%20DE%20ENGENHARIA/Documentos/Or&#231;amentos/Or&#231;amentos-2014/Or&#231;amento%20Modelo%202014-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S&#195;O%20JO&#195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TERESI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&#193;GUA%20BRAN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CAMPO%20MAI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BOM%20JES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FLORIAN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PARNA&#205;B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P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  <row r="20">
          <cell r="H20">
            <v>483.33</v>
          </cell>
          <cell r="I2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10"/>
      <sheetName val="Anexo 02_11"/>
      <sheetName val="Anexo 05_1_Emp"/>
      <sheetName val="Anexo 05_11_Emp"/>
    </sheetNames>
    <sheetDataSet>
      <sheetData sheetId="0">
        <row r="6">
          <cell r="D6">
            <v>6</v>
          </cell>
          <cell r="E6">
            <v>40</v>
          </cell>
          <cell r="F6">
            <v>5976.38</v>
          </cell>
          <cell r="G6">
            <v>35.270000000000003</v>
          </cell>
        </row>
        <row r="7">
          <cell r="D7">
            <v>6</v>
          </cell>
          <cell r="E7">
            <v>40</v>
          </cell>
          <cell r="F7">
            <v>5976.38</v>
          </cell>
          <cell r="G7">
            <v>35.270000000000003</v>
          </cell>
        </row>
        <row r="8">
          <cell r="D8">
            <v>10</v>
          </cell>
          <cell r="E8">
            <v>40</v>
          </cell>
          <cell r="F8">
            <v>4124.18</v>
          </cell>
          <cell r="G8">
            <v>20.84</v>
          </cell>
        </row>
        <row r="9">
          <cell r="D9">
            <v>6</v>
          </cell>
          <cell r="E9">
            <v>40</v>
          </cell>
          <cell r="F9">
            <v>3331.4500000000003</v>
          </cell>
          <cell r="G9">
            <v>16.329999999999998</v>
          </cell>
        </row>
        <row r="10">
          <cell r="D10">
            <v>2</v>
          </cell>
          <cell r="E10">
            <v>0</v>
          </cell>
          <cell r="F10">
            <v>6984.6399999999994</v>
          </cell>
          <cell r="G10">
            <v>35.270000000000003</v>
          </cell>
        </row>
        <row r="11">
          <cell r="D11">
            <v>10</v>
          </cell>
          <cell r="E11">
            <v>40</v>
          </cell>
          <cell r="F11">
            <v>5976.38</v>
          </cell>
          <cell r="G11">
            <v>35.270000000000003</v>
          </cell>
        </row>
        <row r="12">
          <cell r="D12">
            <v>1</v>
          </cell>
          <cell r="E12">
            <v>120</v>
          </cell>
          <cell r="F12">
            <v>5976.38</v>
          </cell>
          <cell r="G12">
            <v>35.270000000000003</v>
          </cell>
        </row>
        <row r="16">
          <cell r="F16">
            <v>70000</v>
          </cell>
          <cell r="G16">
            <v>10696</v>
          </cell>
        </row>
        <row r="17">
          <cell r="H17">
            <v>12050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5976.38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5976.38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4124.18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3331.4500000000003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6984.6399999999994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5976.38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5976.38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  <row r="20">
          <cell r="H20">
            <v>650</v>
          </cell>
          <cell r="I2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  <row r="20">
          <cell r="H20">
            <v>1450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6107.23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6107.23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4214.45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3404.4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7137.5599999999995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6107.23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6107.23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1.41</v>
          </cell>
        </row>
        <row r="19">
          <cell r="F19">
            <v>16</v>
          </cell>
          <cell r="G19">
            <v>89.65</v>
          </cell>
        </row>
        <row r="20">
          <cell r="H20">
            <v>1450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M151"/>
  <sheetViews>
    <sheetView view="pageBreakPreview" topLeftCell="A124" zoomScale="90" zoomScaleNormal="100" zoomScaleSheetLayoutView="90" workbookViewId="0">
      <selection activeCell="N5" sqref="N5"/>
    </sheetView>
  </sheetViews>
  <sheetFormatPr defaultRowHeight="15"/>
  <cols>
    <col min="1" max="1" width="15.5703125" style="1" bestFit="1" customWidth="1"/>
    <col min="2" max="2" width="9.42578125" style="1" customWidth="1"/>
    <col min="3" max="3" width="11" style="1" customWidth="1"/>
    <col min="4" max="4" width="5" style="1" customWidth="1"/>
    <col min="5" max="5" width="10" style="1" customWidth="1"/>
    <col min="6" max="6" width="11.42578125" style="1" bestFit="1" customWidth="1"/>
    <col min="7" max="7" width="14.42578125" style="1" bestFit="1" customWidth="1"/>
    <col min="8" max="10" width="14.28515625" style="1" bestFit="1" customWidth="1"/>
    <col min="11" max="11" width="12.5703125" style="1" bestFit="1" customWidth="1"/>
    <col min="12" max="16384" width="9.140625" style="1"/>
  </cols>
  <sheetData>
    <row r="1" spans="1:13" ht="15.75" thickBot="1"/>
    <row r="2" spans="1:13" ht="15.75" customHeight="1" thickBot="1">
      <c r="A2" s="153" t="s">
        <v>21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3" ht="33" customHeight="1" thickBot="1">
      <c r="A3" s="122" t="s">
        <v>0</v>
      </c>
      <c r="B3" s="126" t="s">
        <v>22</v>
      </c>
      <c r="C3" s="127"/>
      <c r="D3" s="130" t="s">
        <v>23</v>
      </c>
      <c r="E3" s="131"/>
      <c r="F3" s="147" t="s">
        <v>24</v>
      </c>
      <c r="G3" s="136"/>
      <c r="H3" s="134" t="s">
        <v>25</v>
      </c>
      <c r="I3" s="135"/>
      <c r="J3" s="133" t="s">
        <v>26</v>
      </c>
      <c r="K3" s="136"/>
    </row>
    <row r="4" spans="1:13" ht="26.25" thickBot="1">
      <c r="A4" s="123"/>
      <c r="B4" s="128"/>
      <c r="C4" s="129"/>
      <c r="D4" s="33" t="s">
        <v>1</v>
      </c>
      <c r="E4" s="13" t="s">
        <v>2</v>
      </c>
      <c r="F4" s="14" t="s">
        <v>1</v>
      </c>
      <c r="G4" s="35" t="s">
        <v>27</v>
      </c>
      <c r="H4" s="15" t="s">
        <v>1</v>
      </c>
      <c r="I4" s="16" t="s">
        <v>28</v>
      </c>
      <c r="J4" s="34" t="s">
        <v>1</v>
      </c>
      <c r="K4" s="17" t="s">
        <v>29</v>
      </c>
    </row>
    <row r="5" spans="1:13" ht="15.75" customHeight="1" thickBot="1">
      <c r="A5" s="103" t="s">
        <v>45</v>
      </c>
      <c r="B5" s="137" t="s">
        <v>35</v>
      </c>
      <c r="C5" s="138"/>
      <c r="D5" s="2">
        <f>[3]LICITAÇÃO!D6</f>
        <v>6</v>
      </c>
      <c r="E5" s="36">
        <f>[3]LICITAÇÃO!E6</f>
        <v>40</v>
      </c>
      <c r="F5" s="24">
        <f>[3]LICITAÇÃO!F6</f>
        <v>5976.38</v>
      </c>
      <c r="G5" s="7">
        <f>[3]LICITAÇÃO!G6</f>
        <v>35.270000000000003</v>
      </c>
      <c r="H5" s="5">
        <f t="shared" ref="H5:I11" si="0">ROUND(D5*F5,2)</f>
        <v>35858.28</v>
      </c>
      <c r="I5" s="6">
        <f t="shared" si="0"/>
        <v>1410.8</v>
      </c>
      <c r="J5" s="3">
        <f t="shared" ref="J5:K11" si="1">ROUND(H5*12,2)</f>
        <v>430299.36</v>
      </c>
      <c r="K5" s="7">
        <f t="shared" si="1"/>
        <v>16929.599999999999</v>
      </c>
    </row>
    <row r="6" spans="1:13" ht="15.75" customHeight="1" thickBot="1">
      <c r="A6" s="156"/>
      <c r="B6" s="137" t="s">
        <v>36</v>
      </c>
      <c r="C6" s="138"/>
      <c r="D6" s="2">
        <f>[3]LICITAÇÃO!D7</f>
        <v>6</v>
      </c>
      <c r="E6" s="36">
        <f>[3]LICITAÇÃO!E7</f>
        <v>40</v>
      </c>
      <c r="F6" s="24">
        <f>[3]LICITAÇÃO!F7</f>
        <v>5976.38</v>
      </c>
      <c r="G6" s="7">
        <f>[3]LICITAÇÃO!G7</f>
        <v>35.270000000000003</v>
      </c>
      <c r="H6" s="5">
        <f t="shared" si="0"/>
        <v>35858.28</v>
      </c>
      <c r="I6" s="6">
        <f t="shared" si="0"/>
        <v>1410.8</v>
      </c>
      <c r="J6" s="3">
        <f t="shared" si="1"/>
        <v>430299.36</v>
      </c>
      <c r="K6" s="7">
        <f t="shared" si="1"/>
        <v>16929.599999999999</v>
      </c>
    </row>
    <row r="7" spans="1:13" ht="15.75" customHeight="1" thickBot="1">
      <c r="A7" s="156"/>
      <c r="B7" s="137" t="s">
        <v>37</v>
      </c>
      <c r="C7" s="138"/>
      <c r="D7" s="2">
        <f>[3]LICITAÇÃO!D8</f>
        <v>10</v>
      </c>
      <c r="E7" s="36">
        <f>[3]LICITAÇÃO!E8</f>
        <v>40</v>
      </c>
      <c r="F7" s="24">
        <f>[3]LICITAÇÃO!F8</f>
        <v>4124.18</v>
      </c>
      <c r="G7" s="7">
        <f>[3]LICITAÇÃO!G8</f>
        <v>20.84</v>
      </c>
      <c r="H7" s="5">
        <f t="shared" si="0"/>
        <v>41241.800000000003</v>
      </c>
      <c r="I7" s="6">
        <f t="shared" si="0"/>
        <v>833.6</v>
      </c>
      <c r="J7" s="3">
        <f t="shared" si="1"/>
        <v>494901.6</v>
      </c>
      <c r="K7" s="7">
        <f t="shared" si="1"/>
        <v>10003.200000000001</v>
      </c>
    </row>
    <row r="8" spans="1:13" ht="15.75" customHeight="1" thickBot="1">
      <c r="A8" s="156"/>
      <c r="B8" s="137" t="s">
        <v>38</v>
      </c>
      <c r="C8" s="138"/>
      <c r="D8" s="2">
        <f>[3]LICITAÇÃO!D9</f>
        <v>6</v>
      </c>
      <c r="E8" s="36">
        <f>[3]LICITAÇÃO!E9</f>
        <v>40</v>
      </c>
      <c r="F8" s="24">
        <f>[3]LICITAÇÃO!F9</f>
        <v>3331.4500000000003</v>
      </c>
      <c r="G8" s="7">
        <f>[3]LICITAÇÃO!G9</f>
        <v>16.329999999999998</v>
      </c>
      <c r="H8" s="5">
        <f t="shared" si="0"/>
        <v>19988.7</v>
      </c>
      <c r="I8" s="6">
        <f t="shared" si="0"/>
        <v>653.20000000000005</v>
      </c>
      <c r="J8" s="3">
        <f t="shared" si="1"/>
        <v>239864.4</v>
      </c>
      <c r="K8" s="7">
        <f t="shared" si="1"/>
        <v>7838.4</v>
      </c>
    </row>
    <row r="9" spans="1:13" ht="15.75" customHeight="1" thickBot="1">
      <c r="A9" s="156"/>
      <c r="B9" s="137" t="s">
        <v>39</v>
      </c>
      <c r="C9" s="138"/>
      <c r="D9" s="2">
        <f>[3]LICITAÇÃO!D10</f>
        <v>2</v>
      </c>
      <c r="E9" s="36">
        <f>[3]LICITAÇÃO!E10</f>
        <v>0</v>
      </c>
      <c r="F9" s="24">
        <f>[3]LICITAÇÃO!F10</f>
        <v>6984.6399999999994</v>
      </c>
      <c r="G9" s="7">
        <f>[3]LICITAÇÃO!G10</f>
        <v>35.270000000000003</v>
      </c>
      <c r="H9" s="5">
        <f t="shared" si="0"/>
        <v>13969.28</v>
      </c>
      <c r="I9" s="6">
        <f t="shared" si="0"/>
        <v>0</v>
      </c>
      <c r="J9" s="3">
        <f t="shared" si="1"/>
        <v>167631.35999999999</v>
      </c>
      <c r="K9" s="7">
        <f t="shared" si="1"/>
        <v>0</v>
      </c>
    </row>
    <row r="10" spans="1:13" ht="15.75" customHeight="1" thickBot="1">
      <c r="A10" s="156"/>
      <c r="B10" s="139" t="s">
        <v>40</v>
      </c>
      <c r="C10" s="140"/>
      <c r="D10" s="2">
        <f>[3]LICITAÇÃO!D11</f>
        <v>10</v>
      </c>
      <c r="E10" s="36">
        <f>[3]LICITAÇÃO!E11</f>
        <v>40</v>
      </c>
      <c r="F10" s="24">
        <f>[3]LICITAÇÃO!F11</f>
        <v>5976.38</v>
      </c>
      <c r="G10" s="7">
        <f>[3]LICITAÇÃO!G11</f>
        <v>35.270000000000003</v>
      </c>
      <c r="H10" s="5">
        <f t="shared" si="0"/>
        <v>59763.8</v>
      </c>
      <c r="I10" s="6">
        <f t="shared" si="0"/>
        <v>1410.8</v>
      </c>
      <c r="J10" s="3">
        <f t="shared" si="1"/>
        <v>717165.6</v>
      </c>
      <c r="K10" s="7">
        <f t="shared" si="1"/>
        <v>16929.599999999999</v>
      </c>
    </row>
    <row r="11" spans="1:13" ht="15.75" customHeight="1" thickBot="1">
      <c r="A11" s="156"/>
      <c r="B11" s="141" t="s">
        <v>41</v>
      </c>
      <c r="C11" s="142"/>
      <c r="D11" s="37">
        <f>[3]LICITAÇÃO!D12</f>
        <v>1</v>
      </c>
      <c r="E11" s="23">
        <f>[3]LICITAÇÃO!E12</f>
        <v>120</v>
      </c>
      <c r="F11" s="24">
        <f>[3]LICITAÇÃO!F12</f>
        <v>5976.38</v>
      </c>
      <c r="G11" s="7">
        <f>[3]LICITAÇÃO!G12</f>
        <v>35.270000000000003</v>
      </c>
      <c r="H11" s="5">
        <f t="shared" si="0"/>
        <v>5976.38</v>
      </c>
      <c r="I11" s="6">
        <f>ROUND(E11*G11,2)</f>
        <v>4232.3999999999996</v>
      </c>
      <c r="J11" s="3">
        <f t="shared" si="1"/>
        <v>71716.56</v>
      </c>
      <c r="K11" s="7">
        <f>ROUND(I11*12,2)</f>
        <v>50788.800000000003</v>
      </c>
      <c r="M11" s="1">
        <f>SUM(D5:D11)</f>
        <v>41</v>
      </c>
    </row>
    <row r="12" spans="1:13" ht="15.75" customHeight="1" thickBot="1">
      <c r="A12" s="156"/>
      <c r="B12" s="95" t="s">
        <v>32</v>
      </c>
      <c r="C12" s="96"/>
      <c r="D12" s="96"/>
      <c r="E12" s="96"/>
      <c r="F12" s="22"/>
      <c r="G12" s="22"/>
      <c r="H12" s="5">
        <f>SUM(H5:H11)</f>
        <v>212656.52000000002</v>
      </c>
      <c r="I12" s="6">
        <f>SUM(I5:I11)</f>
        <v>9951.5999999999985</v>
      </c>
      <c r="J12" s="9">
        <f>SUM(J5:J11)</f>
        <v>2551878.2399999998</v>
      </c>
      <c r="K12" s="10">
        <f>SUM(K5:K11)</f>
        <v>119419.2</v>
      </c>
    </row>
    <row r="13" spans="1:13" ht="15.75" customHeight="1" thickBot="1">
      <c r="A13" s="156"/>
      <c r="B13" s="95" t="s">
        <v>33</v>
      </c>
      <c r="C13" s="96"/>
      <c r="D13" s="96"/>
      <c r="E13" s="96"/>
      <c r="F13" s="11"/>
      <c r="G13" s="11"/>
      <c r="H13" s="90">
        <f>SUM(H5:H11)+SUM(I5:I11)</f>
        <v>222608.12000000002</v>
      </c>
      <c r="I13" s="110"/>
      <c r="J13" s="99">
        <f>SUM(J5:J11)+SUM(K5:K11)</f>
        <v>2671297.44</v>
      </c>
      <c r="K13" s="100"/>
    </row>
    <row r="14" spans="1:13" ht="15.75" customHeight="1" thickBot="1">
      <c r="A14" s="156"/>
      <c r="B14" s="111" t="s">
        <v>34</v>
      </c>
      <c r="C14" s="112"/>
      <c r="D14" s="112"/>
      <c r="E14" s="112"/>
      <c r="F14" s="38" t="s">
        <v>1</v>
      </c>
      <c r="G14" s="39" t="s">
        <v>42</v>
      </c>
      <c r="H14" s="30"/>
      <c r="I14" s="31"/>
      <c r="J14" s="26"/>
      <c r="K14" s="27"/>
    </row>
    <row r="15" spans="1:13" ht="15.75" thickBot="1">
      <c r="A15" s="156"/>
      <c r="B15" s="113"/>
      <c r="C15" s="114"/>
      <c r="D15" s="114"/>
      <c r="E15" s="114"/>
      <c r="F15" s="40">
        <f>[3]LICITAÇÃO!$F$16</f>
        <v>70000</v>
      </c>
      <c r="G15" s="41">
        <f>[3]LICITAÇÃO!$G$16</f>
        <v>10696</v>
      </c>
      <c r="H15" s="97">
        <f>F15+G15</f>
        <v>80696</v>
      </c>
      <c r="I15" s="98"/>
      <c r="J15" s="105">
        <f>ROUND(12*H15,2)</f>
        <v>968352</v>
      </c>
      <c r="K15" s="106"/>
    </row>
    <row r="16" spans="1:13" ht="15.75" customHeight="1" thickBot="1">
      <c r="A16" s="156"/>
      <c r="B16" s="95" t="s">
        <v>56</v>
      </c>
      <c r="C16" s="96"/>
      <c r="D16" s="96"/>
      <c r="E16" s="96"/>
      <c r="F16" s="96"/>
      <c r="G16" s="115"/>
      <c r="H16" s="151">
        <f>[3]LICITAÇÃO!$H$17</f>
        <v>12050</v>
      </c>
      <c r="I16" s="152"/>
      <c r="J16" s="109">
        <f>ROUND(12*H16,2)</f>
        <v>144600</v>
      </c>
      <c r="K16" s="106"/>
    </row>
    <row r="17" spans="1:13" ht="15.75" customHeight="1" thickBot="1">
      <c r="A17" s="156"/>
      <c r="B17" s="120" t="s">
        <v>30</v>
      </c>
      <c r="C17" s="121"/>
      <c r="D17" s="121"/>
      <c r="E17" s="121"/>
      <c r="F17" s="121"/>
      <c r="G17" s="121"/>
      <c r="H17" s="116">
        <f>H13+H15+H16</f>
        <v>315354.12</v>
      </c>
      <c r="I17" s="117"/>
      <c r="J17" s="118"/>
      <c r="K17" s="119"/>
    </row>
    <row r="18" spans="1:13" ht="15.75" customHeight="1" thickBot="1">
      <c r="A18" s="157"/>
      <c r="B18" s="120" t="s">
        <v>31</v>
      </c>
      <c r="C18" s="121"/>
      <c r="D18" s="121"/>
      <c r="E18" s="121"/>
      <c r="F18" s="121"/>
      <c r="G18" s="121"/>
      <c r="H18" s="18"/>
      <c r="I18" s="18"/>
      <c r="J18" s="109">
        <f>J13+J15+J16</f>
        <v>3784249.44</v>
      </c>
      <c r="K18" s="106"/>
    </row>
    <row r="19" spans="1:13" ht="29.25" customHeight="1" thickBot="1">
      <c r="A19" s="122" t="s">
        <v>0</v>
      </c>
      <c r="B19" s="126" t="s">
        <v>22</v>
      </c>
      <c r="C19" s="150"/>
      <c r="D19" s="147" t="s">
        <v>23</v>
      </c>
      <c r="E19" s="136"/>
      <c r="F19" s="133" t="s">
        <v>24</v>
      </c>
      <c r="G19" s="133"/>
      <c r="H19" s="134" t="s">
        <v>25</v>
      </c>
      <c r="I19" s="135"/>
      <c r="J19" s="133" t="s">
        <v>26</v>
      </c>
      <c r="K19" s="136"/>
    </row>
    <row r="20" spans="1:13" ht="27" customHeight="1" thickBot="1">
      <c r="A20" s="123"/>
      <c r="B20" s="128"/>
      <c r="C20" s="129"/>
      <c r="D20" s="33" t="s">
        <v>1</v>
      </c>
      <c r="E20" s="33" t="s">
        <v>2</v>
      </c>
      <c r="F20" s="14" t="s">
        <v>1</v>
      </c>
      <c r="G20" s="32" t="s">
        <v>27</v>
      </c>
      <c r="H20" s="15" t="s">
        <v>1</v>
      </c>
      <c r="I20" s="16" t="s">
        <v>28</v>
      </c>
      <c r="J20" s="34" t="s">
        <v>1</v>
      </c>
      <c r="K20" s="17" t="s">
        <v>29</v>
      </c>
    </row>
    <row r="21" spans="1:13" ht="15.75" customHeight="1" thickBot="1">
      <c r="A21" s="145" t="s">
        <v>46</v>
      </c>
      <c r="B21" s="137" t="s">
        <v>35</v>
      </c>
      <c r="C21" s="138"/>
      <c r="D21" s="2">
        <f>[4]LICITAÇÃO!D6</f>
        <v>1</v>
      </c>
      <c r="E21" s="2">
        <f>[4]LICITAÇÃO!E6</f>
        <v>30</v>
      </c>
      <c r="F21" s="3">
        <f>[4]LICITAÇÃO!F6</f>
        <v>6107.23</v>
      </c>
      <c r="G21" s="4">
        <f>[4]LICITAÇÃO!G6</f>
        <v>35.270000000000003</v>
      </c>
      <c r="H21" s="5">
        <f t="shared" ref="H21:I26" si="2">ROUND(D21*F21,2)</f>
        <v>6107.23</v>
      </c>
      <c r="I21" s="6">
        <f t="shared" si="2"/>
        <v>1058.0999999999999</v>
      </c>
      <c r="J21" s="3">
        <f t="shared" ref="J21:K26" si="3">ROUND(H21*12,2)</f>
        <v>73286.759999999995</v>
      </c>
      <c r="K21" s="7">
        <f t="shared" si="3"/>
        <v>12697.2</v>
      </c>
    </row>
    <row r="22" spans="1:13" ht="15.75" customHeight="1" thickBot="1">
      <c r="A22" s="101"/>
      <c r="B22" s="137" t="s">
        <v>36</v>
      </c>
      <c r="C22" s="138"/>
      <c r="D22" s="2">
        <f>[4]LICITAÇÃO!D7</f>
        <v>1</v>
      </c>
      <c r="E22" s="2">
        <f>[4]LICITAÇÃO!E7</f>
        <v>30</v>
      </c>
      <c r="F22" s="3">
        <f>[4]LICITAÇÃO!F7</f>
        <v>6107.23</v>
      </c>
      <c r="G22" s="4">
        <f>[4]LICITAÇÃO!G7</f>
        <v>35.270000000000003</v>
      </c>
      <c r="H22" s="5">
        <f t="shared" si="2"/>
        <v>6107.23</v>
      </c>
      <c r="I22" s="6">
        <f t="shared" si="2"/>
        <v>1058.0999999999999</v>
      </c>
      <c r="J22" s="3">
        <f t="shared" si="3"/>
        <v>73286.759999999995</v>
      </c>
      <c r="K22" s="7">
        <f t="shared" si="3"/>
        <v>12697.2</v>
      </c>
    </row>
    <row r="23" spans="1:13" ht="15.75" customHeight="1" thickBot="1">
      <c r="A23" s="101"/>
      <c r="B23" s="137" t="s">
        <v>37</v>
      </c>
      <c r="C23" s="138"/>
      <c r="D23" s="2">
        <f>[4]LICITAÇÃO!D8</f>
        <v>2</v>
      </c>
      <c r="E23" s="2">
        <f>[4]LICITAÇÃO!E8</f>
        <v>40</v>
      </c>
      <c r="F23" s="3">
        <f>[4]LICITAÇÃO!F8</f>
        <v>4214.45</v>
      </c>
      <c r="G23" s="4">
        <f>[4]LICITAÇÃO!G8</f>
        <v>20.84</v>
      </c>
      <c r="H23" s="5">
        <f t="shared" si="2"/>
        <v>8428.9</v>
      </c>
      <c r="I23" s="6">
        <f t="shared" si="2"/>
        <v>833.6</v>
      </c>
      <c r="J23" s="3">
        <f t="shared" si="3"/>
        <v>101146.8</v>
      </c>
      <c r="K23" s="7">
        <f t="shared" si="3"/>
        <v>10003.200000000001</v>
      </c>
    </row>
    <row r="24" spans="1:13" ht="15.75" customHeight="1" thickBot="1">
      <c r="A24" s="101"/>
      <c r="B24" s="137" t="s">
        <v>38</v>
      </c>
      <c r="C24" s="138"/>
      <c r="D24" s="2">
        <f>[4]LICITAÇÃO!D9</f>
        <v>2</v>
      </c>
      <c r="E24" s="2">
        <f>[4]LICITAÇÃO!E9</f>
        <v>40</v>
      </c>
      <c r="F24" s="3">
        <f>[4]LICITAÇÃO!F9</f>
        <v>3404.4</v>
      </c>
      <c r="G24" s="4">
        <f>[4]LICITAÇÃO!G9</f>
        <v>16.329999999999998</v>
      </c>
      <c r="H24" s="5">
        <f t="shared" si="2"/>
        <v>6808.8</v>
      </c>
      <c r="I24" s="6">
        <f t="shared" si="2"/>
        <v>653.20000000000005</v>
      </c>
      <c r="J24" s="3">
        <f t="shared" si="3"/>
        <v>81705.600000000006</v>
      </c>
      <c r="K24" s="7">
        <f t="shared" si="3"/>
        <v>7838.4</v>
      </c>
    </row>
    <row r="25" spans="1:13" ht="15.75" customHeight="1" thickBot="1">
      <c r="A25" s="101"/>
      <c r="B25" s="137" t="s">
        <v>39</v>
      </c>
      <c r="C25" s="138"/>
      <c r="D25" s="2">
        <f>[4]LICITAÇÃO!D10</f>
        <v>1</v>
      </c>
      <c r="E25" s="2">
        <f>[4]LICITAÇÃO!E10</f>
        <v>0</v>
      </c>
      <c r="F25" s="3">
        <f>[4]LICITAÇÃO!F10</f>
        <v>7137.5599999999995</v>
      </c>
      <c r="G25" s="4">
        <f>[4]LICITAÇÃO!G10</f>
        <v>35.270000000000003</v>
      </c>
      <c r="H25" s="5">
        <f t="shared" si="2"/>
        <v>7137.56</v>
      </c>
      <c r="I25" s="6">
        <f t="shared" si="2"/>
        <v>0</v>
      </c>
      <c r="J25" s="3">
        <f t="shared" si="3"/>
        <v>85650.72</v>
      </c>
      <c r="K25" s="7">
        <f t="shared" si="3"/>
        <v>0</v>
      </c>
    </row>
    <row r="26" spans="1:13" ht="15.75" customHeight="1" thickBot="1">
      <c r="A26" s="101"/>
      <c r="B26" s="139" t="s">
        <v>40</v>
      </c>
      <c r="C26" s="140"/>
      <c r="D26" s="2">
        <f>[4]LICITAÇÃO!D11</f>
        <v>1</v>
      </c>
      <c r="E26" s="2">
        <f>[4]LICITAÇÃO!E11</f>
        <v>40</v>
      </c>
      <c r="F26" s="3">
        <f>[4]LICITAÇÃO!F11</f>
        <v>6107.23</v>
      </c>
      <c r="G26" s="4">
        <f>[4]LICITAÇÃO!G11</f>
        <v>35.270000000000003</v>
      </c>
      <c r="H26" s="5">
        <f t="shared" si="2"/>
        <v>6107.23</v>
      </c>
      <c r="I26" s="6">
        <f t="shared" si="2"/>
        <v>1410.8</v>
      </c>
      <c r="J26" s="3">
        <f t="shared" si="3"/>
        <v>73286.759999999995</v>
      </c>
      <c r="K26" s="7">
        <f t="shared" si="3"/>
        <v>16929.599999999999</v>
      </c>
    </row>
    <row r="27" spans="1:13" ht="15.75" customHeight="1" thickBot="1">
      <c r="A27" s="101"/>
      <c r="B27" s="141" t="s">
        <v>41</v>
      </c>
      <c r="C27" s="142"/>
      <c r="D27" s="2">
        <f>[4]LICITAÇÃO!D12</f>
        <v>0</v>
      </c>
      <c r="E27" s="2">
        <f>[4]LICITAÇÃO!E12</f>
        <v>40</v>
      </c>
      <c r="F27" s="3">
        <f>[4]LICITAÇÃO!F12</f>
        <v>6107.23</v>
      </c>
      <c r="G27" s="4">
        <f>[4]LICITAÇÃO!G12</f>
        <v>35.270000000000003</v>
      </c>
      <c r="H27" s="5"/>
      <c r="I27" s="6">
        <f>ROUND(E27*G27,2)</f>
        <v>1410.8</v>
      </c>
      <c r="J27" s="3"/>
      <c r="K27" s="7">
        <f>ROUND(I27*12,2)</f>
        <v>16929.599999999999</v>
      </c>
      <c r="M27" s="1">
        <f>SUM(D21:D27)</f>
        <v>8</v>
      </c>
    </row>
    <row r="28" spans="1:13" ht="15.75" customHeight="1" thickBot="1">
      <c r="A28" s="101"/>
      <c r="B28" s="95" t="s">
        <v>32</v>
      </c>
      <c r="C28" s="96"/>
      <c r="D28" s="96"/>
      <c r="E28" s="96"/>
      <c r="F28" s="8"/>
      <c r="G28" s="8"/>
      <c r="H28" s="5">
        <f>SUM(H21:H27)</f>
        <v>40696.949999999997</v>
      </c>
      <c r="I28" s="6">
        <f>SUM(I21:I27)</f>
        <v>6424.6</v>
      </c>
      <c r="J28" s="9">
        <f>SUM(J21:J27)</f>
        <v>488363.4</v>
      </c>
      <c r="K28" s="10">
        <f>SUM(K21:K27)</f>
        <v>77095.200000000012</v>
      </c>
    </row>
    <row r="29" spans="1:13" ht="15.75" customHeight="1" thickBot="1">
      <c r="A29" s="102"/>
      <c r="B29" s="95" t="s">
        <v>33</v>
      </c>
      <c r="C29" s="96"/>
      <c r="D29" s="96"/>
      <c r="E29" s="96"/>
      <c r="F29" s="11"/>
      <c r="G29" s="11"/>
      <c r="H29" s="158">
        <f>SUM(H21:H27)+SUM(I21:I27)</f>
        <v>47121.549999999996</v>
      </c>
      <c r="I29" s="159"/>
      <c r="J29" s="99">
        <f>SUM(J21:J27)+SUM(K21:K27)</f>
        <v>565458.60000000009</v>
      </c>
      <c r="K29" s="100"/>
    </row>
    <row r="30" spans="1:13" ht="15.75" customHeight="1" thickBot="1">
      <c r="A30" s="103"/>
      <c r="B30" s="111" t="s">
        <v>34</v>
      </c>
      <c r="C30" s="112"/>
      <c r="D30" s="112"/>
      <c r="E30" s="112"/>
      <c r="F30" s="38" t="s">
        <v>1</v>
      </c>
      <c r="G30" s="39" t="s">
        <v>42</v>
      </c>
      <c r="H30" s="30"/>
      <c r="I30" s="31"/>
      <c r="J30" s="42"/>
      <c r="K30" s="27"/>
    </row>
    <row r="31" spans="1:13" ht="15.75" customHeight="1" thickBot="1">
      <c r="A31" s="103"/>
      <c r="B31" s="113"/>
      <c r="C31" s="114"/>
      <c r="D31" s="114"/>
      <c r="E31" s="114"/>
      <c r="F31" s="40">
        <f>[4]LICITAÇÃO!F16</f>
        <v>26000</v>
      </c>
      <c r="G31" s="41">
        <f>[4]LICITAÇÃO!G16</f>
        <v>3972.7999999999997</v>
      </c>
      <c r="H31" s="97">
        <f>F31+G31</f>
        <v>29972.799999999999</v>
      </c>
      <c r="I31" s="98"/>
      <c r="J31" s="109">
        <f>ROUND(12*H31,2)</f>
        <v>359673.59999999998</v>
      </c>
      <c r="K31" s="106"/>
    </row>
    <row r="32" spans="1:13" ht="15.75" customHeight="1" thickBot="1">
      <c r="A32" s="104"/>
      <c r="B32" s="143"/>
      <c r="C32" s="144"/>
      <c r="D32" s="144"/>
      <c r="E32" s="144"/>
      <c r="F32" s="38" t="s">
        <v>52</v>
      </c>
      <c r="G32" s="43" t="s">
        <v>53</v>
      </c>
      <c r="H32" s="28"/>
      <c r="I32" s="29"/>
      <c r="J32" s="42"/>
      <c r="K32" s="27"/>
    </row>
    <row r="33" spans="1:13" ht="15.75" customHeight="1" thickBot="1">
      <c r="A33" s="103"/>
      <c r="B33" s="95" t="s">
        <v>43</v>
      </c>
      <c r="C33" s="96"/>
      <c r="D33" s="96"/>
      <c r="E33" s="96"/>
      <c r="F33" s="40">
        <f>[4]LICITAÇÃO!F18</f>
        <v>3000</v>
      </c>
      <c r="G33" s="41">
        <f>[4]LICITAÇÃO!G18</f>
        <v>1.41</v>
      </c>
      <c r="H33" s="90">
        <f>ROUND(F33*G33,2)</f>
        <v>4230</v>
      </c>
      <c r="I33" s="91"/>
      <c r="J33" s="146">
        <f>ROUND(H33*12,2)</f>
        <v>50760</v>
      </c>
      <c r="K33" s="100"/>
    </row>
    <row r="34" spans="1:13" ht="15.75" customHeight="1" thickBot="1">
      <c r="A34" s="103"/>
      <c r="B34" s="95" t="s">
        <v>44</v>
      </c>
      <c r="C34" s="96"/>
      <c r="D34" s="96"/>
      <c r="E34" s="96"/>
      <c r="F34" s="40">
        <f>[4]LICITAÇÃO!F19</f>
        <v>16</v>
      </c>
      <c r="G34" s="41">
        <f>[4]LICITAÇÃO!G19</f>
        <v>89.65</v>
      </c>
      <c r="H34" s="97">
        <f>ROUND(F34*G34,2)</f>
        <v>1434.4</v>
      </c>
      <c r="I34" s="148"/>
      <c r="J34" s="146">
        <f>ROUND(H34*12,2)</f>
        <v>17212.8</v>
      </c>
      <c r="K34" s="100"/>
    </row>
    <row r="35" spans="1:13" ht="15.75" customHeight="1" thickBot="1">
      <c r="A35" s="44"/>
      <c r="B35" s="120" t="s">
        <v>30</v>
      </c>
      <c r="C35" s="121"/>
      <c r="D35" s="121"/>
      <c r="E35" s="121"/>
      <c r="F35" s="121"/>
      <c r="G35" s="121"/>
      <c r="H35" s="97">
        <f>SUM(H29:I34)</f>
        <v>82758.749999999985</v>
      </c>
      <c r="I35" s="148"/>
      <c r="J35" s="149"/>
      <c r="K35" s="119"/>
    </row>
    <row r="36" spans="1:13" ht="15.75" customHeight="1" thickBot="1">
      <c r="A36" s="45"/>
      <c r="B36" s="120" t="s">
        <v>31</v>
      </c>
      <c r="C36" s="121"/>
      <c r="D36" s="121"/>
      <c r="E36" s="121"/>
      <c r="F36" s="121"/>
      <c r="G36" s="121"/>
      <c r="H36" s="12"/>
      <c r="I36" s="12"/>
      <c r="J36" s="109">
        <f>SUM(J29:K35)</f>
        <v>993105.00000000012</v>
      </c>
      <c r="K36" s="106"/>
    </row>
    <row r="37" spans="1:13" ht="27.95" customHeight="1" thickBot="1">
      <c r="A37" s="122" t="s">
        <v>0</v>
      </c>
      <c r="B37" s="126" t="s">
        <v>22</v>
      </c>
      <c r="C37" s="127"/>
      <c r="D37" s="130" t="s">
        <v>23</v>
      </c>
      <c r="E37" s="131"/>
      <c r="F37" s="132" t="s">
        <v>24</v>
      </c>
      <c r="G37" s="133"/>
      <c r="H37" s="134" t="s">
        <v>25</v>
      </c>
      <c r="I37" s="135"/>
      <c r="J37" s="133" t="s">
        <v>26</v>
      </c>
      <c r="K37" s="136"/>
    </row>
    <row r="38" spans="1:13" ht="27.95" customHeight="1" thickBot="1">
      <c r="A38" s="123"/>
      <c r="B38" s="128"/>
      <c r="C38" s="129"/>
      <c r="D38" s="33" t="s">
        <v>1</v>
      </c>
      <c r="E38" s="13" t="s">
        <v>2</v>
      </c>
      <c r="F38" s="14" t="s">
        <v>1</v>
      </c>
      <c r="G38" s="32" t="s">
        <v>27</v>
      </c>
      <c r="H38" s="15" t="s">
        <v>1</v>
      </c>
      <c r="I38" s="16" t="s">
        <v>28</v>
      </c>
      <c r="J38" s="34" t="s">
        <v>1</v>
      </c>
      <c r="K38" s="17" t="s">
        <v>29</v>
      </c>
    </row>
    <row r="39" spans="1:13" ht="15" customHeight="1" thickBot="1">
      <c r="A39" s="101" t="s">
        <v>47</v>
      </c>
      <c r="B39" s="137" t="s">
        <v>35</v>
      </c>
      <c r="C39" s="138"/>
      <c r="D39" s="2">
        <f>[5]LICITAÇÃO!D6</f>
        <v>1</v>
      </c>
      <c r="E39" s="2">
        <f>[5]LICITAÇÃO!E6</f>
        <v>30</v>
      </c>
      <c r="F39" s="3">
        <f>[5]LICITAÇÃO!F6</f>
        <v>5976.38</v>
      </c>
      <c r="G39" s="4">
        <f>[5]LICITAÇÃO!G6</f>
        <v>35.270000000000003</v>
      </c>
      <c r="H39" s="5">
        <f t="shared" ref="H39:I44" si="4">ROUND(D39*F39,2)</f>
        <v>5976.38</v>
      </c>
      <c r="I39" s="6">
        <f t="shared" si="4"/>
        <v>1058.0999999999999</v>
      </c>
      <c r="J39" s="3">
        <f t="shared" ref="J39:K44" si="5">ROUND(H39*12,2)</f>
        <v>71716.56</v>
      </c>
      <c r="K39" s="7">
        <f t="shared" si="5"/>
        <v>12697.2</v>
      </c>
    </row>
    <row r="40" spans="1:13" ht="15" customHeight="1" thickBot="1">
      <c r="A40" s="101"/>
      <c r="B40" s="137" t="s">
        <v>36</v>
      </c>
      <c r="C40" s="138"/>
      <c r="D40" s="2">
        <f>[5]LICITAÇÃO!D7</f>
        <v>1</v>
      </c>
      <c r="E40" s="2">
        <f>[5]LICITAÇÃO!E7</f>
        <v>30</v>
      </c>
      <c r="F40" s="3">
        <f>[5]LICITAÇÃO!F7</f>
        <v>5976.38</v>
      </c>
      <c r="G40" s="4">
        <f>[5]LICITAÇÃO!G7</f>
        <v>35.270000000000003</v>
      </c>
      <c r="H40" s="5">
        <f t="shared" si="4"/>
        <v>5976.38</v>
      </c>
      <c r="I40" s="6">
        <f t="shared" si="4"/>
        <v>1058.0999999999999</v>
      </c>
      <c r="J40" s="3">
        <f t="shared" si="5"/>
        <v>71716.56</v>
      </c>
      <c r="K40" s="7">
        <f t="shared" si="5"/>
        <v>12697.2</v>
      </c>
    </row>
    <row r="41" spans="1:13" ht="15" customHeight="1" thickBot="1">
      <c r="A41" s="101"/>
      <c r="B41" s="137" t="s">
        <v>37</v>
      </c>
      <c r="C41" s="138"/>
      <c r="D41" s="2">
        <f>[5]LICITAÇÃO!D8</f>
        <v>3</v>
      </c>
      <c r="E41" s="2">
        <f>[5]LICITAÇÃO!E8</f>
        <v>40</v>
      </c>
      <c r="F41" s="3">
        <f>[5]LICITAÇÃO!F8</f>
        <v>4124.18</v>
      </c>
      <c r="G41" s="4">
        <f>[5]LICITAÇÃO!G8</f>
        <v>20.84</v>
      </c>
      <c r="H41" s="5">
        <f t="shared" si="4"/>
        <v>12372.54</v>
      </c>
      <c r="I41" s="6">
        <f t="shared" si="4"/>
        <v>833.6</v>
      </c>
      <c r="J41" s="3">
        <f t="shared" si="5"/>
        <v>148470.48000000001</v>
      </c>
      <c r="K41" s="7">
        <f t="shared" si="5"/>
        <v>10003.200000000001</v>
      </c>
    </row>
    <row r="42" spans="1:13" ht="15" customHeight="1" thickBot="1">
      <c r="A42" s="101"/>
      <c r="B42" s="137" t="s">
        <v>38</v>
      </c>
      <c r="C42" s="138"/>
      <c r="D42" s="2">
        <f>[5]LICITAÇÃO!D9</f>
        <v>2</v>
      </c>
      <c r="E42" s="2">
        <f>[5]LICITAÇÃO!E9</f>
        <v>40</v>
      </c>
      <c r="F42" s="3">
        <f>[5]LICITAÇÃO!F9</f>
        <v>3331.4500000000003</v>
      </c>
      <c r="G42" s="4">
        <f>[5]LICITAÇÃO!G9</f>
        <v>16.329999999999998</v>
      </c>
      <c r="H42" s="5">
        <f t="shared" si="4"/>
        <v>6662.9</v>
      </c>
      <c r="I42" s="6">
        <f t="shared" si="4"/>
        <v>653.20000000000005</v>
      </c>
      <c r="J42" s="3">
        <f t="shared" si="5"/>
        <v>79954.8</v>
      </c>
      <c r="K42" s="7">
        <f t="shared" si="5"/>
        <v>7838.4</v>
      </c>
    </row>
    <row r="43" spans="1:13" ht="15" customHeight="1" thickBot="1">
      <c r="A43" s="101"/>
      <c r="B43" s="137" t="s">
        <v>39</v>
      </c>
      <c r="C43" s="138"/>
      <c r="D43" s="2">
        <f>[5]LICITAÇÃO!D10</f>
        <v>1</v>
      </c>
      <c r="E43" s="2">
        <f>[5]LICITAÇÃO!E10</f>
        <v>0</v>
      </c>
      <c r="F43" s="3">
        <f>[5]LICITAÇÃO!F10</f>
        <v>6984.6399999999994</v>
      </c>
      <c r="G43" s="4">
        <f>[5]LICITAÇÃO!G10</f>
        <v>35.270000000000003</v>
      </c>
      <c r="H43" s="5">
        <f t="shared" si="4"/>
        <v>6984.64</v>
      </c>
      <c r="I43" s="6">
        <f t="shared" si="4"/>
        <v>0</v>
      </c>
      <c r="J43" s="3">
        <f t="shared" si="5"/>
        <v>83815.679999999993</v>
      </c>
      <c r="K43" s="7">
        <f t="shared" si="5"/>
        <v>0</v>
      </c>
    </row>
    <row r="44" spans="1:13" ht="15" customHeight="1" thickBot="1">
      <c r="A44" s="101"/>
      <c r="B44" s="139" t="s">
        <v>40</v>
      </c>
      <c r="C44" s="140"/>
      <c r="D44" s="2">
        <f>[5]LICITAÇÃO!D11</f>
        <v>1</v>
      </c>
      <c r="E44" s="2">
        <f>[5]LICITAÇÃO!E11</f>
        <v>40</v>
      </c>
      <c r="F44" s="3">
        <f>[5]LICITAÇÃO!F11</f>
        <v>5976.38</v>
      </c>
      <c r="G44" s="4">
        <f>[5]LICITAÇÃO!G11</f>
        <v>35.270000000000003</v>
      </c>
      <c r="H44" s="5">
        <f t="shared" si="4"/>
        <v>5976.38</v>
      </c>
      <c r="I44" s="6">
        <f t="shared" si="4"/>
        <v>1410.8</v>
      </c>
      <c r="J44" s="3">
        <f t="shared" si="5"/>
        <v>71716.56</v>
      </c>
      <c r="K44" s="7">
        <f t="shared" si="5"/>
        <v>16929.599999999999</v>
      </c>
    </row>
    <row r="45" spans="1:13" ht="15" customHeight="1" thickBot="1">
      <c r="A45" s="101"/>
      <c r="B45" s="141" t="s">
        <v>41</v>
      </c>
      <c r="C45" s="142"/>
      <c r="D45" s="2">
        <f>[5]LICITAÇÃO!D12</f>
        <v>0</v>
      </c>
      <c r="E45" s="2">
        <f>[5]LICITAÇÃO!E12</f>
        <v>40</v>
      </c>
      <c r="F45" s="3">
        <f>[5]LICITAÇÃO!F12</f>
        <v>5976.38</v>
      </c>
      <c r="G45" s="4">
        <f>[5]LICITAÇÃO!G12</f>
        <v>35.270000000000003</v>
      </c>
      <c r="H45" s="5"/>
      <c r="I45" s="6">
        <f>ROUND(E45*G45,2)</f>
        <v>1410.8</v>
      </c>
      <c r="J45" s="3"/>
      <c r="K45" s="7">
        <f>ROUND(I45*12,2)</f>
        <v>16929.599999999999</v>
      </c>
      <c r="M45" s="1">
        <f>SUM(D39:D45)</f>
        <v>9</v>
      </c>
    </row>
    <row r="46" spans="1:13" ht="15" customHeight="1" thickBot="1">
      <c r="A46" s="101"/>
      <c r="B46" s="95" t="s">
        <v>32</v>
      </c>
      <c r="C46" s="96"/>
      <c r="D46" s="96"/>
      <c r="E46" s="96"/>
      <c r="F46" s="8"/>
      <c r="G46" s="8"/>
      <c r="H46" s="5">
        <f>SUM(H39:H45)</f>
        <v>43949.22</v>
      </c>
      <c r="I46" s="6">
        <f>SUM(I39:I45)</f>
        <v>6424.6</v>
      </c>
      <c r="J46" s="9">
        <f>SUM(J39:J45)</f>
        <v>527390.6399999999</v>
      </c>
      <c r="K46" s="10">
        <f>SUM(K39:K45)</f>
        <v>77095.200000000012</v>
      </c>
    </row>
    <row r="47" spans="1:13" ht="15" customHeight="1" thickBot="1">
      <c r="A47" s="102"/>
      <c r="B47" s="95" t="s">
        <v>33</v>
      </c>
      <c r="C47" s="96"/>
      <c r="D47" s="96"/>
      <c r="E47" s="96"/>
      <c r="F47" s="11"/>
      <c r="G47" s="11"/>
      <c r="H47" s="90">
        <f>SUM(H39:H45)+SUM(I39:I45)</f>
        <v>50373.82</v>
      </c>
      <c r="I47" s="110"/>
      <c r="J47" s="99">
        <f>SUM(J39:J45)+SUM(K39:K45)</f>
        <v>604485.83999999985</v>
      </c>
      <c r="K47" s="100"/>
    </row>
    <row r="48" spans="1:13" ht="15" customHeight="1" thickBot="1">
      <c r="A48" s="103"/>
      <c r="B48" s="111" t="s">
        <v>34</v>
      </c>
      <c r="C48" s="112"/>
      <c r="D48" s="112"/>
      <c r="E48" s="112"/>
      <c r="F48" s="38" t="s">
        <v>1</v>
      </c>
      <c r="G48" s="39" t="s">
        <v>42</v>
      </c>
      <c r="H48" s="30"/>
      <c r="I48" s="31"/>
      <c r="J48" s="26"/>
      <c r="K48" s="27"/>
    </row>
    <row r="49" spans="1:13" ht="15.75" thickBot="1">
      <c r="A49" s="103"/>
      <c r="B49" s="113"/>
      <c r="C49" s="114"/>
      <c r="D49" s="114"/>
      <c r="E49" s="114"/>
      <c r="F49" s="40">
        <f>[5]LICITAÇÃO!F16</f>
        <v>26000</v>
      </c>
      <c r="G49" s="41">
        <f>[5]LICITAÇÃO!G16</f>
        <v>3972.7999999999997</v>
      </c>
      <c r="H49" s="97">
        <f>F49+G49</f>
        <v>29972.799999999999</v>
      </c>
      <c r="I49" s="98"/>
      <c r="J49" s="105">
        <f>ROUND(12*H49,2)</f>
        <v>359673.59999999998</v>
      </c>
      <c r="K49" s="106"/>
    </row>
    <row r="50" spans="1:13" ht="15" customHeight="1" thickBot="1">
      <c r="A50" s="104"/>
      <c r="B50" s="143"/>
      <c r="C50" s="144"/>
      <c r="D50" s="144"/>
      <c r="E50" s="144"/>
      <c r="F50" s="38" t="s">
        <v>52</v>
      </c>
      <c r="G50" s="43" t="s">
        <v>53</v>
      </c>
      <c r="H50" s="30"/>
      <c r="I50" s="31"/>
      <c r="J50" s="26"/>
      <c r="K50" s="27"/>
    </row>
    <row r="51" spans="1:13" ht="15" customHeight="1" thickBot="1">
      <c r="A51" s="103"/>
      <c r="B51" s="95" t="s">
        <v>43</v>
      </c>
      <c r="C51" s="96"/>
      <c r="D51" s="96"/>
      <c r="E51" s="96"/>
      <c r="F51" s="40">
        <f>[5]LICITAÇÃO!F18</f>
        <v>3000</v>
      </c>
      <c r="G51" s="41">
        <f>[5]LICITAÇÃO!G18</f>
        <v>1.41</v>
      </c>
      <c r="H51" s="97">
        <f>ROUND(F51*G51,2)</f>
        <v>4230</v>
      </c>
      <c r="I51" s="98"/>
      <c r="J51" s="99">
        <f>ROUND(H51*12,2)</f>
        <v>50760</v>
      </c>
      <c r="K51" s="100"/>
    </row>
    <row r="52" spans="1:13" ht="15" customHeight="1" thickBot="1">
      <c r="A52" s="103"/>
      <c r="B52" s="95" t="s">
        <v>44</v>
      </c>
      <c r="C52" s="96"/>
      <c r="D52" s="96"/>
      <c r="E52" s="96"/>
      <c r="F52" s="40">
        <f>[5]LICITAÇÃO!F19</f>
        <v>16</v>
      </c>
      <c r="G52" s="41">
        <f>[5]LICITAÇÃO!G19</f>
        <v>89.65</v>
      </c>
      <c r="H52" s="97">
        <f>ROUND(F52*G52,2)</f>
        <v>1434.4</v>
      </c>
      <c r="I52" s="98"/>
      <c r="J52" s="99">
        <f>ROUND(H52*12,2)</f>
        <v>17212.8</v>
      </c>
      <c r="K52" s="100"/>
    </row>
    <row r="53" spans="1:13" ht="15.75" customHeight="1" thickBot="1">
      <c r="A53" s="46"/>
      <c r="B53" s="95" t="s">
        <v>56</v>
      </c>
      <c r="C53" s="96"/>
      <c r="D53" s="96"/>
      <c r="E53" s="96"/>
      <c r="F53" s="96"/>
      <c r="G53" s="115"/>
      <c r="H53" s="97">
        <f>[5]LICITAÇÃO!$H$20:$I$20</f>
        <v>650</v>
      </c>
      <c r="I53" s="98"/>
      <c r="J53" s="99">
        <f>ROUND(H53*12,2)</f>
        <v>7800</v>
      </c>
      <c r="K53" s="100"/>
    </row>
    <row r="54" spans="1:13" ht="15" customHeight="1" thickBot="1">
      <c r="A54" s="44"/>
      <c r="B54" s="120" t="s">
        <v>30</v>
      </c>
      <c r="C54" s="121"/>
      <c r="D54" s="121"/>
      <c r="E54" s="121"/>
      <c r="F54" s="121"/>
      <c r="G54" s="121"/>
      <c r="H54" s="116">
        <f>SUM(H47:I53)</f>
        <v>86661.01999999999</v>
      </c>
      <c r="I54" s="117"/>
      <c r="J54" s="118"/>
      <c r="K54" s="119"/>
    </row>
    <row r="55" spans="1:13" ht="15" customHeight="1" thickBot="1">
      <c r="A55" s="45"/>
      <c r="B55" s="120" t="s">
        <v>31</v>
      </c>
      <c r="C55" s="121"/>
      <c r="D55" s="121"/>
      <c r="E55" s="121"/>
      <c r="F55" s="121"/>
      <c r="G55" s="121"/>
      <c r="H55" s="18"/>
      <c r="I55" s="18"/>
      <c r="J55" s="109">
        <f>SUM(J47:K54)</f>
        <v>1039932.2399999999</v>
      </c>
      <c r="K55" s="106"/>
    </row>
    <row r="56" spans="1:13" ht="27.95" customHeight="1" thickBot="1">
      <c r="A56" s="122" t="s">
        <v>0</v>
      </c>
      <c r="B56" s="126" t="s">
        <v>22</v>
      </c>
      <c r="C56" s="127"/>
      <c r="D56" s="130" t="s">
        <v>23</v>
      </c>
      <c r="E56" s="131"/>
      <c r="F56" s="132" t="s">
        <v>24</v>
      </c>
      <c r="G56" s="133"/>
      <c r="H56" s="134" t="s">
        <v>25</v>
      </c>
      <c r="I56" s="135"/>
      <c r="J56" s="133" t="s">
        <v>26</v>
      </c>
      <c r="K56" s="136"/>
    </row>
    <row r="57" spans="1:13" ht="27.95" customHeight="1" thickBot="1">
      <c r="A57" s="123"/>
      <c r="B57" s="128"/>
      <c r="C57" s="129"/>
      <c r="D57" s="33" t="s">
        <v>1</v>
      </c>
      <c r="E57" s="13" t="s">
        <v>2</v>
      </c>
      <c r="F57" s="14" t="s">
        <v>1</v>
      </c>
      <c r="G57" s="32" t="s">
        <v>27</v>
      </c>
      <c r="H57" s="15" t="s">
        <v>1</v>
      </c>
      <c r="I57" s="16" t="s">
        <v>28</v>
      </c>
      <c r="J57" s="34" t="s">
        <v>1</v>
      </c>
      <c r="K57" s="17" t="s">
        <v>29</v>
      </c>
    </row>
    <row r="58" spans="1:13" ht="15.75" customHeight="1" thickBot="1">
      <c r="A58" s="101" t="s">
        <v>54</v>
      </c>
      <c r="B58" s="137" t="s">
        <v>35</v>
      </c>
      <c r="C58" s="138"/>
      <c r="D58" s="2">
        <f>[6]LICITAÇÃO!D6</f>
        <v>1</v>
      </c>
      <c r="E58" s="2">
        <f>[6]LICITAÇÃO!E6</f>
        <v>30</v>
      </c>
      <c r="F58" s="3">
        <f>[6]LICITAÇÃO!F6</f>
        <v>6107.23</v>
      </c>
      <c r="G58" s="19">
        <f>[6]LICITAÇÃO!G6</f>
        <v>35.270000000000003</v>
      </c>
      <c r="H58" s="5">
        <f t="shared" ref="H58:I63" si="6">ROUND(D58*F58,2)</f>
        <v>6107.23</v>
      </c>
      <c r="I58" s="6">
        <f t="shared" si="6"/>
        <v>1058.0999999999999</v>
      </c>
      <c r="J58" s="3">
        <f t="shared" ref="J58:K63" si="7">ROUND(H58*12,2)</f>
        <v>73286.759999999995</v>
      </c>
      <c r="K58" s="7">
        <f t="shared" si="7"/>
        <v>12697.2</v>
      </c>
    </row>
    <row r="59" spans="1:13" ht="15.75" customHeight="1" thickBot="1">
      <c r="A59" s="101"/>
      <c r="B59" s="137" t="s">
        <v>36</v>
      </c>
      <c r="C59" s="138"/>
      <c r="D59" s="2">
        <f>[6]LICITAÇÃO!D7</f>
        <v>1</v>
      </c>
      <c r="E59" s="2">
        <f>[6]LICITAÇÃO!E7</f>
        <v>30</v>
      </c>
      <c r="F59" s="3">
        <f>[6]LICITAÇÃO!F7</f>
        <v>6107.23</v>
      </c>
      <c r="G59" s="19">
        <f>[6]LICITAÇÃO!G7</f>
        <v>35.270000000000003</v>
      </c>
      <c r="H59" s="5">
        <f t="shared" si="6"/>
        <v>6107.23</v>
      </c>
      <c r="I59" s="6">
        <f t="shared" si="6"/>
        <v>1058.0999999999999</v>
      </c>
      <c r="J59" s="3">
        <f t="shared" si="7"/>
        <v>73286.759999999995</v>
      </c>
      <c r="K59" s="7">
        <f t="shared" si="7"/>
        <v>12697.2</v>
      </c>
    </row>
    <row r="60" spans="1:13" ht="15.75" customHeight="1" thickBot="1">
      <c r="A60" s="101"/>
      <c r="B60" s="137" t="s">
        <v>37</v>
      </c>
      <c r="C60" s="138"/>
      <c r="D60" s="2">
        <f>[6]LICITAÇÃO!D8</f>
        <v>2</v>
      </c>
      <c r="E60" s="2">
        <f>[6]LICITAÇÃO!E8</f>
        <v>40</v>
      </c>
      <c r="F60" s="3">
        <f>[6]LICITAÇÃO!F8</f>
        <v>4214.45</v>
      </c>
      <c r="G60" s="19">
        <f>[6]LICITAÇÃO!G8</f>
        <v>20.84</v>
      </c>
      <c r="H60" s="5">
        <f t="shared" si="6"/>
        <v>8428.9</v>
      </c>
      <c r="I60" s="6">
        <f t="shared" si="6"/>
        <v>833.6</v>
      </c>
      <c r="J60" s="3">
        <f t="shared" si="7"/>
        <v>101146.8</v>
      </c>
      <c r="K60" s="7">
        <f t="shared" si="7"/>
        <v>10003.200000000001</v>
      </c>
    </row>
    <row r="61" spans="1:13" ht="15.75" customHeight="1" thickBot="1">
      <c r="A61" s="101"/>
      <c r="B61" s="137" t="s">
        <v>38</v>
      </c>
      <c r="C61" s="138"/>
      <c r="D61" s="2">
        <f>[6]LICITAÇÃO!D9</f>
        <v>2</v>
      </c>
      <c r="E61" s="2">
        <f>[6]LICITAÇÃO!E9</f>
        <v>40</v>
      </c>
      <c r="F61" s="3">
        <f>[6]LICITAÇÃO!F9</f>
        <v>3404.4</v>
      </c>
      <c r="G61" s="19">
        <f>[6]LICITAÇÃO!G9</f>
        <v>16.329999999999998</v>
      </c>
      <c r="H61" s="5">
        <f t="shared" si="6"/>
        <v>6808.8</v>
      </c>
      <c r="I61" s="6">
        <f t="shared" si="6"/>
        <v>653.20000000000005</v>
      </c>
      <c r="J61" s="3">
        <f t="shared" si="7"/>
        <v>81705.600000000006</v>
      </c>
      <c r="K61" s="7">
        <f t="shared" si="7"/>
        <v>7838.4</v>
      </c>
    </row>
    <row r="62" spans="1:13" ht="15.75" customHeight="1" thickBot="1">
      <c r="A62" s="101"/>
      <c r="B62" s="137" t="s">
        <v>39</v>
      </c>
      <c r="C62" s="138"/>
      <c r="D62" s="2">
        <f>[6]LICITAÇÃO!D10</f>
        <v>1</v>
      </c>
      <c r="E62" s="2">
        <f>[6]LICITAÇÃO!E10</f>
        <v>0</v>
      </c>
      <c r="F62" s="3">
        <f>[6]LICITAÇÃO!F10</f>
        <v>7137.5599999999995</v>
      </c>
      <c r="G62" s="19">
        <f>[6]LICITAÇÃO!G10</f>
        <v>35.270000000000003</v>
      </c>
      <c r="H62" s="5">
        <f t="shared" si="6"/>
        <v>7137.56</v>
      </c>
      <c r="I62" s="6">
        <f t="shared" si="6"/>
        <v>0</v>
      </c>
      <c r="J62" s="3">
        <f t="shared" si="7"/>
        <v>85650.72</v>
      </c>
      <c r="K62" s="7">
        <f t="shared" si="7"/>
        <v>0</v>
      </c>
    </row>
    <row r="63" spans="1:13" ht="15.75" customHeight="1" thickBot="1">
      <c r="A63" s="101"/>
      <c r="B63" s="139" t="s">
        <v>40</v>
      </c>
      <c r="C63" s="140"/>
      <c r="D63" s="2">
        <f>[6]LICITAÇÃO!D11</f>
        <v>1</v>
      </c>
      <c r="E63" s="2">
        <f>[6]LICITAÇÃO!E11</f>
        <v>40</v>
      </c>
      <c r="F63" s="3">
        <f>[6]LICITAÇÃO!F11</f>
        <v>6107.23</v>
      </c>
      <c r="G63" s="19">
        <f>[6]LICITAÇÃO!G11</f>
        <v>35.270000000000003</v>
      </c>
      <c r="H63" s="5">
        <f t="shared" si="6"/>
        <v>6107.23</v>
      </c>
      <c r="I63" s="6">
        <f t="shared" si="6"/>
        <v>1410.8</v>
      </c>
      <c r="J63" s="3">
        <f t="shared" si="7"/>
        <v>73286.759999999995</v>
      </c>
      <c r="K63" s="7">
        <f t="shared" si="7"/>
        <v>16929.599999999999</v>
      </c>
    </row>
    <row r="64" spans="1:13" ht="15.75" customHeight="1" thickBot="1">
      <c r="A64" s="101"/>
      <c r="B64" s="141" t="s">
        <v>41</v>
      </c>
      <c r="C64" s="142"/>
      <c r="D64" s="2">
        <f>[6]LICITAÇÃO!D12</f>
        <v>0</v>
      </c>
      <c r="E64" s="2">
        <f>[6]LICITAÇÃO!E12</f>
        <v>40</v>
      </c>
      <c r="F64" s="3">
        <f>[6]LICITAÇÃO!F12</f>
        <v>6107.23</v>
      </c>
      <c r="G64" s="19">
        <f>[6]LICITAÇÃO!G12</f>
        <v>35.270000000000003</v>
      </c>
      <c r="H64" s="5"/>
      <c r="I64" s="6">
        <f>ROUND(E64*G64,2)</f>
        <v>1410.8</v>
      </c>
      <c r="J64" s="3"/>
      <c r="K64" s="7">
        <f>ROUND(I64*12,2)</f>
        <v>16929.599999999999</v>
      </c>
      <c r="M64" s="1">
        <f>SUM(D58:D64)</f>
        <v>8</v>
      </c>
    </row>
    <row r="65" spans="1:11" ht="15.75" customHeight="1" thickBot="1">
      <c r="A65" s="101"/>
      <c r="B65" s="95" t="s">
        <v>32</v>
      </c>
      <c r="C65" s="96"/>
      <c r="D65" s="96"/>
      <c r="E65" s="96"/>
      <c r="F65" s="8"/>
      <c r="G65" s="8"/>
      <c r="H65" s="5">
        <f>SUM(H58:H64)</f>
        <v>40696.949999999997</v>
      </c>
      <c r="I65" s="6">
        <f>SUM(I58:I64)</f>
        <v>6424.6</v>
      </c>
      <c r="J65" s="9">
        <f>SUM(J58:J64)</f>
        <v>488363.4</v>
      </c>
      <c r="K65" s="10">
        <f>SUM(K58:K64)</f>
        <v>77095.200000000012</v>
      </c>
    </row>
    <row r="66" spans="1:11" ht="15.75" customHeight="1" thickBot="1">
      <c r="A66" s="102"/>
      <c r="B66" s="95" t="s">
        <v>33</v>
      </c>
      <c r="C66" s="96"/>
      <c r="D66" s="96"/>
      <c r="E66" s="96"/>
      <c r="F66" s="11"/>
      <c r="G66" s="11"/>
      <c r="H66" s="90">
        <f>SUM(H58:H64)+SUM(I58:I64)</f>
        <v>47121.549999999996</v>
      </c>
      <c r="I66" s="110"/>
      <c r="J66" s="99">
        <f>SUM(J58:J64)+SUM(K58:K64)</f>
        <v>565458.60000000009</v>
      </c>
      <c r="K66" s="100"/>
    </row>
    <row r="67" spans="1:11" ht="15.75" customHeight="1" thickBot="1">
      <c r="A67" s="103"/>
      <c r="B67" s="111" t="s">
        <v>34</v>
      </c>
      <c r="C67" s="112"/>
      <c r="D67" s="112"/>
      <c r="E67" s="112"/>
      <c r="F67" s="38" t="s">
        <v>1</v>
      </c>
      <c r="G67" s="39" t="s">
        <v>42</v>
      </c>
      <c r="H67" s="30"/>
      <c r="I67" s="31"/>
      <c r="J67" s="26"/>
      <c r="K67" s="27"/>
    </row>
    <row r="68" spans="1:11" ht="15.75" thickBot="1">
      <c r="A68" s="103"/>
      <c r="B68" s="113"/>
      <c r="C68" s="114"/>
      <c r="D68" s="114"/>
      <c r="E68" s="114"/>
      <c r="F68" s="40">
        <f>[6]LICITAÇÃO!$F$16</f>
        <v>26000</v>
      </c>
      <c r="G68" s="41">
        <f>[6]LICITAÇÃO!$G$16</f>
        <v>3972.7999999999997</v>
      </c>
      <c r="H68" s="97">
        <f>F68+G68</f>
        <v>29972.799999999999</v>
      </c>
      <c r="I68" s="98"/>
      <c r="J68" s="105">
        <f>ROUND(12*H68,2)</f>
        <v>359673.59999999998</v>
      </c>
      <c r="K68" s="106"/>
    </row>
    <row r="69" spans="1:11" ht="15.75" customHeight="1" thickBot="1">
      <c r="A69" s="104"/>
      <c r="B69" s="143"/>
      <c r="C69" s="144"/>
      <c r="D69" s="144"/>
      <c r="E69" s="144"/>
      <c r="F69" s="38" t="s">
        <v>52</v>
      </c>
      <c r="G69" s="43" t="s">
        <v>53</v>
      </c>
      <c r="H69" s="30"/>
      <c r="I69" s="31"/>
      <c r="J69" s="26"/>
      <c r="K69" s="27"/>
    </row>
    <row r="70" spans="1:11" ht="15.75" customHeight="1" thickBot="1">
      <c r="A70" s="103"/>
      <c r="B70" s="95" t="s">
        <v>43</v>
      </c>
      <c r="C70" s="96"/>
      <c r="D70" s="96"/>
      <c r="E70" s="96"/>
      <c r="F70" s="40">
        <f>[6]LICITAÇÃO!$F$18</f>
        <v>3000</v>
      </c>
      <c r="G70" s="41">
        <f>[6]LICITAÇÃO!$G$18</f>
        <v>1.41</v>
      </c>
      <c r="H70" s="97">
        <f>ROUND(F70*G70,2)</f>
        <v>4230</v>
      </c>
      <c r="I70" s="98"/>
      <c r="J70" s="99">
        <f>ROUND(H70*12,2)</f>
        <v>50760</v>
      </c>
      <c r="K70" s="100"/>
    </row>
    <row r="71" spans="1:11" ht="15.75" customHeight="1" thickBot="1">
      <c r="A71" s="103"/>
      <c r="B71" s="95" t="s">
        <v>44</v>
      </c>
      <c r="C71" s="96"/>
      <c r="D71" s="96"/>
      <c r="E71" s="96"/>
      <c r="F71" s="40">
        <f>[6]LICITAÇÃO!$F$19</f>
        <v>16</v>
      </c>
      <c r="G71" s="41">
        <f>[6]LICITAÇÃO!$G$19</f>
        <v>89.65</v>
      </c>
      <c r="H71" s="97">
        <f>ROUND(F71*G71,2)</f>
        <v>1434.4</v>
      </c>
      <c r="I71" s="98"/>
      <c r="J71" s="99">
        <f>ROUND(H71*12,2)</f>
        <v>17212.8</v>
      </c>
      <c r="K71" s="100"/>
    </row>
    <row r="72" spans="1:11" ht="15.75" customHeight="1" thickBot="1">
      <c r="A72" s="44"/>
      <c r="B72" s="120" t="s">
        <v>30</v>
      </c>
      <c r="C72" s="121"/>
      <c r="D72" s="121"/>
      <c r="E72" s="121"/>
      <c r="F72" s="121"/>
      <c r="G72" s="121"/>
      <c r="H72" s="116">
        <f>SUM(H66:I71)</f>
        <v>82758.749999999985</v>
      </c>
      <c r="I72" s="117"/>
      <c r="J72" s="118"/>
      <c r="K72" s="119"/>
    </row>
    <row r="73" spans="1:11" ht="15.75" customHeight="1" thickBot="1">
      <c r="A73" s="45"/>
      <c r="B73" s="120" t="s">
        <v>31</v>
      </c>
      <c r="C73" s="121"/>
      <c r="D73" s="121"/>
      <c r="E73" s="121"/>
      <c r="F73" s="121"/>
      <c r="G73" s="121"/>
      <c r="H73" s="18"/>
      <c r="I73" s="18"/>
      <c r="J73" s="109">
        <f>SUM(J66:K72)</f>
        <v>993105.00000000012</v>
      </c>
      <c r="K73" s="106"/>
    </row>
    <row r="74" spans="1:11" ht="27.95" customHeight="1" thickBot="1">
      <c r="A74" s="122" t="s">
        <v>0</v>
      </c>
      <c r="B74" s="126" t="s">
        <v>22</v>
      </c>
      <c r="C74" s="127"/>
      <c r="D74" s="130" t="s">
        <v>23</v>
      </c>
      <c r="E74" s="131"/>
      <c r="F74" s="132" t="s">
        <v>24</v>
      </c>
      <c r="G74" s="133"/>
      <c r="H74" s="134" t="s">
        <v>25</v>
      </c>
      <c r="I74" s="135"/>
      <c r="J74" s="133" t="s">
        <v>26</v>
      </c>
      <c r="K74" s="136"/>
    </row>
    <row r="75" spans="1:11" ht="27.95" customHeight="1" thickBot="1">
      <c r="A75" s="123"/>
      <c r="B75" s="128"/>
      <c r="C75" s="129"/>
      <c r="D75" s="33" t="s">
        <v>1</v>
      </c>
      <c r="E75" s="13" t="s">
        <v>2</v>
      </c>
      <c r="F75" s="14" t="s">
        <v>1</v>
      </c>
      <c r="G75" s="32" t="s">
        <v>27</v>
      </c>
      <c r="H75" s="15" t="s">
        <v>1</v>
      </c>
      <c r="I75" s="16" t="s">
        <v>28</v>
      </c>
      <c r="J75" s="34" t="s">
        <v>1</v>
      </c>
      <c r="K75" s="17" t="s">
        <v>29</v>
      </c>
    </row>
    <row r="76" spans="1:11" ht="15.75" customHeight="1" thickBot="1">
      <c r="A76" s="101" t="s">
        <v>48</v>
      </c>
      <c r="B76" s="137" t="s">
        <v>35</v>
      </c>
      <c r="C76" s="138"/>
      <c r="D76" s="2">
        <f>[7]LICITAÇÃO!D6</f>
        <v>1</v>
      </c>
      <c r="E76" s="2">
        <f>[7]LICITAÇÃO!E6</f>
        <v>30</v>
      </c>
      <c r="F76" s="3">
        <f>[7]LICITAÇÃO!F6</f>
        <v>6107.23</v>
      </c>
      <c r="G76" s="4">
        <f>[7]LICITAÇÃO!G6</f>
        <v>35.270000000000003</v>
      </c>
      <c r="H76" s="5">
        <f t="shared" ref="H76:I81" si="8">ROUND(D76*F76,2)</f>
        <v>6107.23</v>
      </c>
      <c r="I76" s="6">
        <f t="shared" si="8"/>
        <v>1058.0999999999999</v>
      </c>
      <c r="J76" s="3">
        <f t="shared" ref="J76:K81" si="9">ROUND(H76*12,2)</f>
        <v>73286.759999999995</v>
      </c>
      <c r="K76" s="7">
        <f t="shared" si="9"/>
        <v>12697.2</v>
      </c>
    </row>
    <row r="77" spans="1:11" ht="15.75" customHeight="1" thickBot="1">
      <c r="A77" s="101"/>
      <c r="B77" s="137" t="s">
        <v>36</v>
      </c>
      <c r="C77" s="138"/>
      <c r="D77" s="2">
        <f>[7]LICITAÇÃO!D7</f>
        <v>1</v>
      </c>
      <c r="E77" s="2">
        <f>[7]LICITAÇÃO!E7</f>
        <v>30</v>
      </c>
      <c r="F77" s="3">
        <f>[7]LICITAÇÃO!F7</f>
        <v>6107.23</v>
      </c>
      <c r="G77" s="4">
        <f>[7]LICITAÇÃO!G7</f>
        <v>35.270000000000003</v>
      </c>
      <c r="H77" s="5">
        <f t="shared" si="8"/>
        <v>6107.23</v>
      </c>
      <c r="I77" s="6">
        <f t="shared" si="8"/>
        <v>1058.0999999999999</v>
      </c>
      <c r="J77" s="3">
        <f t="shared" si="9"/>
        <v>73286.759999999995</v>
      </c>
      <c r="K77" s="7">
        <f t="shared" si="9"/>
        <v>12697.2</v>
      </c>
    </row>
    <row r="78" spans="1:11" ht="15.75" customHeight="1" thickBot="1">
      <c r="A78" s="101"/>
      <c r="B78" s="137" t="s">
        <v>37</v>
      </c>
      <c r="C78" s="138"/>
      <c r="D78" s="2">
        <f>[7]LICITAÇÃO!D8</f>
        <v>2</v>
      </c>
      <c r="E78" s="2">
        <f>[7]LICITAÇÃO!E8</f>
        <v>40</v>
      </c>
      <c r="F78" s="3">
        <f>[7]LICITAÇÃO!F8</f>
        <v>4214.45</v>
      </c>
      <c r="G78" s="4">
        <f>[7]LICITAÇÃO!G8</f>
        <v>20.84</v>
      </c>
      <c r="H78" s="5">
        <f t="shared" si="8"/>
        <v>8428.9</v>
      </c>
      <c r="I78" s="6">
        <f t="shared" si="8"/>
        <v>833.6</v>
      </c>
      <c r="J78" s="3">
        <f t="shared" si="9"/>
        <v>101146.8</v>
      </c>
      <c r="K78" s="7">
        <f t="shared" si="9"/>
        <v>10003.200000000001</v>
      </c>
    </row>
    <row r="79" spans="1:11" ht="15.75" customHeight="1" thickBot="1">
      <c r="A79" s="101"/>
      <c r="B79" s="137" t="s">
        <v>38</v>
      </c>
      <c r="C79" s="138"/>
      <c r="D79" s="2">
        <f>[7]LICITAÇÃO!D9</f>
        <v>2</v>
      </c>
      <c r="E79" s="2">
        <f>[7]LICITAÇÃO!E9</f>
        <v>40</v>
      </c>
      <c r="F79" s="3">
        <f>[7]LICITAÇÃO!F9</f>
        <v>3404.4</v>
      </c>
      <c r="G79" s="4">
        <f>[7]LICITAÇÃO!G9</f>
        <v>16.329999999999998</v>
      </c>
      <c r="H79" s="5">
        <f t="shared" si="8"/>
        <v>6808.8</v>
      </c>
      <c r="I79" s="6">
        <f t="shared" si="8"/>
        <v>653.20000000000005</v>
      </c>
      <c r="J79" s="3">
        <f t="shared" si="9"/>
        <v>81705.600000000006</v>
      </c>
      <c r="K79" s="7">
        <f t="shared" si="9"/>
        <v>7838.4</v>
      </c>
    </row>
    <row r="80" spans="1:11" ht="15.75" customHeight="1" thickBot="1">
      <c r="A80" s="101"/>
      <c r="B80" s="137" t="s">
        <v>39</v>
      </c>
      <c r="C80" s="138"/>
      <c r="D80" s="2">
        <f>[7]LICITAÇÃO!D10</f>
        <v>1</v>
      </c>
      <c r="E80" s="2">
        <f>[7]LICITAÇÃO!E10</f>
        <v>0</v>
      </c>
      <c r="F80" s="3">
        <f>[7]LICITAÇÃO!F10</f>
        <v>7137.5599999999995</v>
      </c>
      <c r="G80" s="4">
        <f>[7]LICITAÇÃO!G10</f>
        <v>35.270000000000003</v>
      </c>
      <c r="H80" s="5">
        <f t="shared" si="8"/>
        <v>7137.56</v>
      </c>
      <c r="I80" s="6">
        <f t="shared" si="8"/>
        <v>0</v>
      </c>
      <c r="J80" s="3">
        <f t="shared" si="9"/>
        <v>85650.72</v>
      </c>
      <c r="K80" s="7">
        <f t="shared" si="9"/>
        <v>0</v>
      </c>
    </row>
    <row r="81" spans="1:13" ht="15.75" customHeight="1" thickBot="1">
      <c r="A81" s="101"/>
      <c r="B81" s="139" t="s">
        <v>40</v>
      </c>
      <c r="C81" s="140"/>
      <c r="D81" s="2">
        <f>[7]LICITAÇÃO!D11</f>
        <v>1</v>
      </c>
      <c r="E81" s="2">
        <f>[7]LICITAÇÃO!E11</f>
        <v>40</v>
      </c>
      <c r="F81" s="3">
        <f>[7]LICITAÇÃO!F11</f>
        <v>6107.23</v>
      </c>
      <c r="G81" s="4">
        <f>[7]LICITAÇÃO!G11</f>
        <v>35.270000000000003</v>
      </c>
      <c r="H81" s="5">
        <f t="shared" si="8"/>
        <v>6107.23</v>
      </c>
      <c r="I81" s="6">
        <f t="shared" si="8"/>
        <v>1410.8</v>
      </c>
      <c r="J81" s="3">
        <f t="shared" si="9"/>
        <v>73286.759999999995</v>
      </c>
      <c r="K81" s="7">
        <f t="shared" si="9"/>
        <v>16929.599999999999</v>
      </c>
    </row>
    <row r="82" spans="1:13" ht="15.75" customHeight="1" thickBot="1">
      <c r="A82" s="101"/>
      <c r="B82" s="141" t="s">
        <v>41</v>
      </c>
      <c r="C82" s="142"/>
      <c r="D82" s="2">
        <f>[7]LICITAÇÃO!D12</f>
        <v>0</v>
      </c>
      <c r="E82" s="2">
        <f>[7]LICITAÇÃO!E12</f>
        <v>40</v>
      </c>
      <c r="F82" s="3">
        <f>[7]LICITAÇÃO!F12</f>
        <v>6107.23</v>
      </c>
      <c r="G82" s="4">
        <f>[7]LICITAÇÃO!G12</f>
        <v>35.270000000000003</v>
      </c>
      <c r="H82" s="5"/>
      <c r="I82" s="6">
        <f>ROUND(E82*G82,2)</f>
        <v>1410.8</v>
      </c>
      <c r="J82" s="3"/>
      <c r="K82" s="7">
        <f>ROUND(I82*12,2)</f>
        <v>16929.599999999999</v>
      </c>
      <c r="M82" s="1">
        <f>SUM(D76:D82)</f>
        <v>8</v>
      </c>
    </row>
    <row r="83" spans="1:13" ht="15.75" customHeight="1" thickBot="1">
      <c r="A83" s="101"/>
      <c r="B83" s="95" t="s">
        <v>32</v>
      </c>
      <c r="C83" s="96"/>
      <c r="D83" s="96"/>
      <c r="E83" s="96"/>
      <c r="F83" s="8"/>
      <c r="G83" s="8"/>
      <c r="H83" s="5">
        <f>SUM(H76:H82)</f>
        <v>40696.949999999997</v>
      </c>
      <c r="I83" s="6">
        <f>SUM(I76:I82)</f>
        <v>6424.6</v>
      </c>
      <c r="J83" s="9">
        <f>SUM(J76:J82)</f>
        <v>488363.4</v>
      </c>
      <c r="K83" s="10">
        <f>SUM(K76:K82)</f>
        <v>77095.200000000012</v>
      </c>
    </row>
    <row r="84" spans="1:13" ht="15.75" customHeight="1" thickBot="1">
      <c r="A84" s="102"/>
      <c r="B84" s="95" t="s">
        <v>33</v>
      </c>
      <c r="C84" s="96"/>
      <c r="D84" s="96"/>
      <c r="E84" s="96"/>
      <c r="F84" s="11"/>
      <c r="G84" s="11"/>
      <c r="H84" s="158">
        <f>SUM(H76:H82)+SUM(I76:I82)</f>
        <v>47121.549999999996</v>
      </c>
      <c r="I84" s="159"/>
      <c r="J84" s="99">
        <f>SUM(J76:J82)+SUM(K76:K82)</f>
        <v>565458.60000000009</v>
      </c>
      <c r="K84" s="100"/>
    </row>
    <row r="85" spans="1:13" ht="15.75" customHeight="1" thickBot="1">
      <c r="A85" s="103"/>
      <c r="B85" s="111" t="s">
        <v>34</v>
      </c>
      <c r="C85" s="112"/>
      <c r="D85" s="112"/>
      <c r="E85" s="112"/>
      <c r="F85" s="38" t="s">
        <v>1</v>
      </c>
      <c r="G85" s="39" t="s">
        <v>42</v>
      </c>
      <c r="H85" s="30"/>
      <c r="I85" s="31"/>
      <c r="J85" s="42"/>
      <c r="K85" s="27"/>
    </row>
    <row r="86" spans="1:13" ht="15.75" thickBot="1">
      <c r="A86" s="103"/>
      <c r="B86" s="113"/>
      <c r="C86" s="114"/>
      <c r="D86" s="114"/>
      <c r="E86" s="114"/>
      <c r="F86" s="40">
        <f>[7]LICITAÇÃO!$F$16</f>
        <v>26000</v>
      </c>
      <c r="G86" s="41">
        <f>[7]LICITAÇÃO!$G$16</f>
        <v>3972.7999999999997</v>
      </c>
      <c r="H86" s="97">
        <f>F86+G86</f>
        <v>29972.799999999999</v>
      </c>
      <c r="I86" s="98"/>
      <c r="J86" s="109">
        <f>ROUND(12*H86,2)</f>
        <v>359673.59999999998</v>
      </c>
      <c r="K86" s="106"/>
    </row>
    <row r="87" spans="1:13" ht="15.75" customHeight="1" thickBot="1">
      <c r="A87" s="104"/>
      <c r="B87" s="143"/>
      <c r="C87" s="144"/>
      <c r="D87" s="144"/>
      <c r="E87" s="144"/>
      <c r="F87" s="38" t="s">
        <v>52</v>
      </c>
      <c r="G87" s="43" t="s">
        <v>53</v>
      </c>
      <c r="H87" s="30"/>
      <c r="I87" s="31"/>
      <c r="J87" s="42"/>
      <c r="K87" s="27"/>
    </row>
    <row r="88" spans="1:13" ht="15.75" customHeight="1" thickBot="1">
      <c r="A88" s="103"/>
      <c r="B88" s="95" t="s">
        <v>43</v>
      </c>
      <c r="C88" s="96"/>
      <c r="D88" s="96"/>
      <c r="E88" s="96"/>
      <c r="F88" s="40">
        <f>[7]LICITAÇÃO!$F$18</f>
        <v>3000</v>
      </c>
      <c r="G88" s="41">
        <f>[7]LICITAÇÃO!$G$18</f>
        <v>1.41</v>
      </c>
      <c r="H88" s="97">
        <f>ROUND(F88*G88,2)</f>
        <v>4230</v>
      </c>
      <c r="I88" s="98"/>
      <c r="J88" s="146">
        <f>ROUND(H88*12,2)</f>
        <v>50760</v>
      </c>
      <c r="K88" s="100"/>
    </row>
    <row r="89" spans="1:13" ht="15.75" customHeight="1" thickBot="1">
      <c r="A89" s="103"/>
      <c r="B89" s="95" t="s">
        <v>44</v>
      </c>
      <c r="C89" s="96"/>
      <c r="D89" s="96"/>
      <c r="E89" s="96"/>
      <c r="F89" s="40">
        <f>[7]LICITAÇÃO!$F$19</f>
        <v>16</v>
      </c>
      <c r="G89" s="41">
        <f>[7]LICITAÇÃO!$G$19</f>
        <v>89.65</v>
      </c>
      <c r="H89" s="97">
        <f>ROUND(F89*G89,2)</f>
        <v>1434.4</v>
      </c>
      <c r="I89" s="98"/>
      <c r="J89" s="146">
        <f>ROUND(H89*12,2)</f>
        <v>17212.8</v>
      </c>
      <c r="K89" s="100"/>
    </row>
    <row r="90" spans="1:13" ht="15.75" customHeight="1" thickBot="1">
      <c r="A90" s="44"/>
      <c r="B90" s="120" t="s">
        <v>30</v>
      </c>
      <c r="C90" s="121"/>
      <c r="D90" s="121"/>
      <c r="E90" s="121"/>
      <c r="F90" s="121"/>
      <c r="G90" s="160"/>
      <c r="H90" s="116">
        <f>SUM(H84:I89)</f>
        <v>82758.749999999985</v>
      </c>
      <c r="I90" s="117"/>
      <c r="J90" s="149"/>
      <c r="K90" s="119"/>
    </row>
    <row r="91" spans="1:13" ht="15.75" customHeight="1" thickBot="1">
      <c r="A91" s="45"/>
      <c r="B91" s="120" t="s">
        <v>31</v>
      </c>
      <c r="C91" s="121"/>
      <c r="D91" s="121"/>
      <c r="E91" s="121"/>
      <c r="F91" s="121"/>
      <c r="G91" s="121"/>
      <c r="H91" s="18"/>
      <c r="I91" s="18"/>
      <c r="J91" s="109">
        <f>SUM(J84:K90)</f>
        <v>993105.00000000012</v>
      </c>
      <c r="K91" s="106"/>
    </row>
    <row r="92" spans="1:13" ht="27.95" customHeight="1" thickBot="1">
      <c r="A92" s="122" t="s">
        <v>0</v>
      </c>
      <c r="B92" s="126" t="s">
        <v>22</v>
      </c>
      <c r="C92" s="127"/>
      <c r="D92" s="130" t="s">
        <v>23</v>
      </c>
      <c r="E92" s="131"/>
      <c r="F92" s="132" t="s">
        <v>24</v>
      </c>
      <c r="G92" s="133"/>
      <c r="H92" s="134" t="s">
        <v>25</v>
      </c>
      <c r="I92" s="135"/>
      <c r="J92" s="133" t="s">
        <v>26</v>
      </c>
      <c r="K92" s="136"/>
    </row>
    <row r="93" spans="1:13" ht="27.95" customHeight="1" thickBot="1">
      <c r="A93" s="123"/>
      <c r="B93" s="128"/>
      <c r="C93" s="129"/>
      <c r="D93" s="33" t="s">
        <v>1</v>
      </c>
      <c r="E93" s="13" t="s">
        <v>2</v>
      </c>
      <c r="F93" s="14" t="s">
        <v>1</v>
      </c>
      <c r="G93" s="15" t="s">
        <v>27</v>
      </c>
      <c r="H93" s="15" t="s">
        <v>1</v>
      </c>
      <c r="I93" s="16" t="s">
        <v>28</v>
      </c>
      <c r="J93" s="34" t="s">
        <v>1</v>
      </c>
      <c r="K93" s="17" t="s">
        <v>29</v>
      </c>
    </row>
    <row r="94" spans="1:13" ht="15.75" customHeight="1" thickBot="1">
      <c r="A94" s="101" t="s">
        <v>49</v>
      </c>
      <c r="B94" s="137" t="s">
        <v>35</v>
      </c>
      <c r="C94" s="138"/>
      <c r="D94" s="2">
        <f>[8]LICITAÇÃO!D6</f>
        <v>1</v>
      </c>
      <c r="E94" s="2">
        <f>[8]LICITAÇÃO!E6</f>
        <v>30</v>
      </c>
      <c r="F94" s="3">
        <f>[8]LICITAÇÃO!F6</f>
        <v>6107.23</v>
      </c>
      <c r="G94" s="20">
        <f>[8]LICITAÇÃO!G6</f>
        <v>35.270000000000003</v>
      </c>
      <c r="H94" s="5">
        <f t="shared" ref="H94:I99" si="10">ROUND(D94*F94,2)</f>
        <v>6107.23</v>
      </c>
      <c r="I94" s="6">
        <f t="shared" si="10"/>
        <v>1058.0999999999999</v>
      </c>
      <c r="J94" s="3">
        <f t="shared" ref="J94:K99" si="11">ROUND(H94*12,2)</f>
        <v>73286.759999999995</v>
      </c>
      <c r="K94" s="7">
        <f t="shared" si="11"/>
        <v>12697.2</v>
      </c>
    </row>
    <row r="95" spans="1:13" ht="15.75" customHeight="1" thickBot="1">
      <c r="A95" s="101"/>
      <c r="B95" s="137" t="s">
        <v>36</v>
      </c>
      <c r="C95" s="138"/>
      <c r="D95" s="2">
        <f>[8]LICITAÇÃO!D7</f>
        <v>1</v>
      </c>
      <c r="E95" s="2">
        <f>[8]LICITAÇÃO!E7</f>
        <v>30</v>
      </c>
      <c r="F95" s="3">
        <f>[8]LICITAÇÃO!F7</f>
        <v>6107.23</v>
      </c>
      <c r="G95" s="20">
        <f>[8]LICITAÇÃO!G7</f>
        <v>35.270000000000003</v>
      </c>
      <c r="H95" s="5">
        <f t="shared" si="10"/>
        <v>6107.23</v>
      </c>
      <c r="I95" s="6">
        <f t="shared" si="10"/>
        <v>1058.0999999999999</v>
      </c>
      <c r="J95" s="3">
        <f t="shared" si="11"/>
        <v>73286.759999999995</v>
      </c>
      <c r="K95" s="7">
        <f t="shared" si="11"/>
        <v>12697.2</v>
      </c>
    </row>
    <row r="96" spans="1:13" ht="15.75" customHeight="1" thickBot="1">
      <c r="A96" s="101"/>
      <c r="B96" s="137" t="s">
        <v>37</v>
      </c>
      <c r="C96" s="138"/>
      <c r="D96" s="2">
        <f>[8]LICITAÇÃO!D8</f>
        <v>3</v>
      </c>
      <c r="E96" s="2">
        <f>[8]LICITAÇÃO!E8</f>
        <v>40</v>
      </c>
      <c r="F96" s="3">
        <f>[8]LICITAÇÃO!F8</f>
        <v>4214.45</v>
      </c>
      <c r="G96" s="20">
        <f>[8]LICITAÇÃO!G8</f>
        <v>20.84</v>
      </c>
      <c r="H96" s="5">
        <f t="shared" si="10"/>
        <v>12643.35</v>
      </c>
      <c r="I96" s="6">
        <f t="shared" si="10"/>
        <v>833.6</v>
      </c>
      <c r="J96" s="3">
        <f t="shared" si="11"/>
        <v>151720.20000000001</v>
      </c>
      <c r="K96" s="7">
        <f t="shared" si="11"/>
        <v>10003.200000000001</v>
      </c>
    </row>
    <row r="97" spans="1:13" ht="15.75" customHeight="1" thickBot="1">
      <c r="A97" s="101"/>
      <c r="B97" s="137" t="s">
        <v>38</v>
      </c>
      <c r="C97" s="138"/>
      <c r="D97" s="2">
        <f>[8]LICITAÇÃO!D9</f>
        <v>2</v>
      </c>
      <c r="E97" s="2">
        <f>[8]LICITAÇÃO!E9</f>
        <v>40</v>
      </c>
      <c r="F97" s="3">
        <f>[8]LICITAÇÃO!F9</f>
        <v>3404.4</v>
      </c>
      <c r="G97" s="20">
        <f>[8]LICITAÇÃO!G9</f>
        <v>16.329999999999998</v>
      </c>
      <c r="H97" s="5">
        <f t="shared" si="10"/>
        <v>6808.8</v>
      </c>
      <c r="I97" s="6">
        <f t="shared" si="10"/>
        <v>653.20000000000005</v>
      </c>
      <c r="J97" s="3">
        <f t="shared" si="11"/>
        <v>81705.600000000006</v>
      </c>
      <c r="K97" s="7">
        <f t="shared" si="11"/>
        <v>7838.4</v>
      </c>
    </row>
    <row r="98" spans="1:13" ht="15.75" customHeight="1" thickBot="1">
      <c r="A98" s="101"/>
      <c r="B98" s="137" t="s">
        <v>39</v>
      </c>
      <c r="C98" s="138"/>
      <c r="D98" s="2">
        <f>[8]LICITAÇÃO!D10</f>
        <v>1</v>
      </c>
      <c r="E98" s="2">
        <f>[8]LICITAÇÃO!E10</f>
        <v>0</v>
      </c>
      <c r="F98" s="3">
        <f>[8]LICITAÇÃO!F10</f>
        <v>7137.5599999999995</v>
      </c>
      <c r="G98" s="20">
        <f>[8]LICITAÇÃO!G10</f>
        <v>35.270000000000003</v>
      </c>
      <c r="H98" s="5">
        <f t="shared" si="10"/>
        <v>7137.56</v>
      </c>
      <c r="I98" s="6">
        <f t="shared" si="10"/>
        <v>0</v>
      </c>
      <c r="J98" s="3">
        <f t="shared" si="11"/>
        <v>85650.72</v>
      </c>
      <c r="K98" s="7">
        <f t="shared" si="11"/>
        <v>0</v>
      </c>
    </row>
    <row r="99" spans="1:13" ht="15.75" customHeight="1" thickBot="1">
      <c r="A99" s="101"/>
      <c r="B99" s="139" t="s">
        <v>40</v>
      </c>
      <c r="C99" s="140"/>
      <c r="D99" s="2">
        <f>[8]LICITAÇÃO!D11</f>
        <v>1</v>
      </c>
      <c r="E99" s="2">
        <f>[8]LICITAÇÃO!E11</f>
        <v>40</v>
      </c>
      <c r="F99" s="3">
        <f>[8]LICITAÇÃO!F11</f>
        <v>6107.23</v>
      </c>
      <c r="G99" s="20">
        <f>[8]LICITAÇÃO!G11</f>
        <v>35.270000000000003</v>
      </c>
      <c r="H99" s="5">
        <f t="shared" si="10"/>
        <v>6107.23</v>
      </c>
      <c r="I99" s="6">
        <f t="shared" si="10"/>
        <v>1410.8</v>
      </c>
      <c r="J99" s="3">
        <f t="shared" si="11"/>
        <v>73286.759999999995</v>
      </c>
      <c r="K99" s="7">
        <f t="shared" si="11"/>
        <v>16929.599999999999</v>
      </c>
    </row>
    <row r="100" spans="1:13" ht="15.75" customHeight="1" thickBot="1">
      <c r="A100" s="101"/>
      <c r="B100" s="141" t="s">
        <v>41</v>
      </c>
      <c r="C100" s="142"/>
      <c r="D100" s="2">
        <f>[8]LICITAÇÃO!D12</f>
        <v>0</v>
      </c>
      <c r="E100" s="2">
        <f>[8]LICITAÇÃO!E12</f>
        <v>40</v>
      </c>
      <c r="F100" s="3">
        <f>[8]LICITAÇÃO!F12</f>
        <v>6107.23</v>
      </c>
      <c r="G100" s="21">
        <f>[8]LICITAÇÃO!G12</f>
        <v>35.270000000000003</v>
      </c>
      <c r="H100" s="5"/>
      <c r="I100" s="6">
        <f>ROUND(E100*G100,2)</f>
        <v>1410.8</v>
      </c>
      <c r="J100" s="3"/>
      <c r="K100" s="7">
        <f>ROUND(I100*12,2)</f>
        <v>16929.599999999999</v>
      </c>
      <c r="M100" s="1">
        <f>SUM(D94:D100)</f>
        <v>9</v>
      </c>
    </row>
    <row r="101" spans="1:13" ht="15.75" customHeight="1" thickBot="1">
      <c r="A101" s="101"/>
      <c r="B101" s="95" t="s">
        <v>32</v>
      </c>
      <c r="C101" s="96"/>
      <c r="D101" s="96"/>
      <c r="E101" s="96"/>
      <c r="F101" s="8"/>
      <c r="G101" s="22"/>
      <c r="H101" s="5">
        <f>SUM(H94:H100)</f>
        <v>44911.399999999994</v>
      </c>
      <c r="I101" s="6">
        <f>SUM(I94:I100)</f>
        <v>6424.6</v>
      </c>
      <c r="J101" s="9">
        <f>SUM(J94:J100)</f>
        <v>538936.79999999993</v>
      </c>
      <c r="K101" s="10">
        <f>SUM(K94:K100)</f>
        <v>77095.200000000012</v>
      </c>
    </row>
    <row r="102" spans="1:13" ht="15.75" customHeight="1" thickBot="1">
      <c r="A102" s="102"/>
      <c r="B102" s="95" t="s">
        <v>33</v>
      </c>
      <c r="C102" s="96"/>
      <c r="D102" s="96"/>
      <c r="E102" s="96"/>
      <c r="F102" s="11"/>
      <c r="G102" s="11"/>
      <c r="H102" s="90">
        <f>SUM(H94:H100)+SUM(I94:I100)</f>
        <v>51335.999999999993</v>
      </c>
      <c r="I102" s="110"/>
      <c r="J102" s="99">
        <f>SUM(J94:J100)+SUM(K94:K100)</f>
        <v>616032</v>
      </c>
      <c r="K102" s="100"/>
    </row>
    <row r="103" spans="1:13" ht="15.75" customHeight="1" thickBot="1">
      <c r="A103" s="103"/>
      <c r="B103" s="111" t="s">
        <v>34</v>
      </c>
      <c r="C103" s="112"/>
      <c r="D103" s="112"/>
      <c r="E103" s="112"/>
      <c r="F103" s="38" t="s">
        <v>1</v>
      </c>
      <c r="G103" s="39" t="s">
        <v>42</v>
      </c>
      <c r="H103" s="30"/>
      <c r="I103" s="31"/>
      <c r="J103" s="26"/>
      <c r="K103" s="27"/>
    </row>
    <row r="104" spans="1:13" ht="15.75" thickBot="1">
      <c r="A104" s="103"/>
      <c r="B104" s="113"/>
      <c r="C104" s="114"/>
      <c r="D104" s="114"/>
      <c r="E104" s="114"/>
      <c r="F104" s="40">
        <f>[8]LICITAÇÃO!F16</f>
        <v>26000</v>
      </c>
      <c r="G104" s="41">
        <f>[8]LICITAÇÃO!G16</f>
        <v>3972.7999999999997</v>
      </c>
      <c r="H104" s="97">
        <f>F104+G104</f>
        <v>29972.799999999999</v>
      </c>
      <c r="I104" s="98"/>
      <c r="J104" s="105">
        <f>ROUND(12*H104,2)</f>
        <v>359673.59999999998</v>
      </c>
      <c r="K104" s="106"/>
    </row>
    <row r="105" spans="1:13" ht="15.75" customHeight="1" thickBot="1">
      <c r="A105" s="104"/>
      <c r="B105" s="143"/>
      <c r="C105" s="144"/>
      <c r="D105" s="144"/>
      <c r="E105" s="144"/>
      <c r="F105" s="38" t="s">
        <v>52</v>
      </c>
      <c r="G105" s="43" t="s">
        <v>53</v>
      </c>
      <c r="H105" s="30"/>
      <c r="I105" s="31"/>
      <c r="J105" s="26"/>
      <c r="K105" s="27"/>
    </row>
    <row r="106" spans="1:13" ht="15.75" customHeight="1" thickBot="1">
      <c r="A106" s="103"/>
      <c r="B106" s="95" t="s">
        <v>43</v>
      </c>
      <c r="C106" s="96"/>
      <c r="D106" s="96"/>
      <c r="E106" s="96"/>
      <c r="F106" s="40">
        <f>[8]LICITAÇÃO!F18</f>
        <v>3000</v>
      </c>
      <c r="G106" s="41">
        <f>[8]LICITAÇÃO!G18</f>
        <v>1.41</v>
      </c>
      <c r="H106" s="97">
        <f>ROUND(F106*G106,2)</f>
        <v>4230</v>
      </c>
      <c r="I106" s="98"/>
      <c r="J106" s="99">
        <f>ROUND(H106*12,2)</f>
        <v>50760</v>
      </c>
      <c r="K106" s="100"/>
    </row>
    <row r="107" spans="1:13" ht="15.75" customHeight="1" thickBot="1">
      <c r="A107" s="103"/>
      <c r="B107" s="95" t="s">
        <v>44</v>
      </c>
      <c r="C107" s="96"/>
      <c r="D107" s="96"/>
      <c r="E107" s="96"/>
      <c r="F107" s="40">
        <f>[8]LICITAÇÃO!F19</f>
        <v>16</v>
      </c>
      <c r="G107" s="41">
        <f>[8]LICITAÇÃO!G19</f>
        <v>89.65</v>
      </c>
      <c r="H107" s="97">
        <f>ROUND(F107*G107,2)</f>
        <v>1434.4</v>
      </c>
      <c r="I107" s="98"/>
      <c r="J107" s="99">
        <f>ROUND(H107*12,2)</f>
        <v>17212.8</v>
      </c>
      <c r="K107" s="100"/>
    </row>
    <row r="108" spans="1:13" ht="15.75" customHeight="1" thickBot="1">
      <c r="A108" s="46"/>
      <c r="B108" s="95" t="s">
        <v>56</v>
      </c>
      <c r="C108" s="96"/>
      <c r="D108" s="96"/>
      <c r="E108" s="96"/>
      <c r="F108" s="96"/>
      <c r="G108" s="115"/>
      <c r="H108" s="97">
        <f>[8]LICITAÇÃO!$H$20</f>
        <v>1450</v>
      </c>
      <c r="I108" s="98"/>
      <c r="J108" s="99">
        <f>ROUND(H108*12,2)</f>
        <v>17400</v>
      </c>
      <c r="K108" s="100"/>
    </row>
    <row r="109" spans="1:13" ht="15.75" customHeight="1" thickBot="1">
      <c r="A109" s="44"/>
      <c r="B109" s="120" t="s">
        <v>30</v>
      </c>
      <c r="C109" s="121"/>
      <c r="D109" s="121"/>
      <c r="E109" s="121"/>
      <c r="F109" s="121"/>
      <c r="G109" s="121"/>
      <c r="H109" s="116">
        <f>SUM(H102:I108)</f>
        <v>88423.199999999983</v>
      </c>
      <c r="I109" s="117"/>
      <c r="J109" s="118"/>
      <c r="K109" s="119"/>
    </row>
    <row r="110" spans="1:13" ht="15.75" customHeight="1" thickBot="1">
      <c r="A110" s="45"/>
      <c r="B110" s="120" t="s">
        <v>31</v>
      </c>
      <c r="C110" s="121"/>
      <c r="D110" s="121"/>
      <c r="E110" s="121"/>
      <c r="F110" s="121"/>
      <c r="G110" s="121"/>
      <c r="H110" s="25"/>
      <c r="I110" s="25"/>
      <c r="J110" s="109">
        <f>SUM(J102:K109)</f>
        <v>1061078.3999999999</v>
      </c>
      <c r="K110" s="106"/>
    </row>
    <row r="111" spans="1:13" ht="27.95" customHeight="1" thickBot="1">
      <c r="A111" s="122" t="s">
        <v>0</v>
      </c>
      <c r="B111" s="126" t="s">
        <v>22</v>
      </c>
      <c r="C111" s="127"/>
      <c r="D111" s="130" t="s">
        <v>23</v>
      </c>
      <c r="E111" s="131"/>
      <c r="F111" s="132" t="s">
        <v>24</v>
      </c>
      <c r="G111" s="133"/>
      <c r="H111" s="134" t="s">
        <v>25</v>
      </c>
      <c r="I111" s="135"/>
      <c r="J111" s="133" t="s">
        <v>26</v>
      </c>
      <c r="K111" s="136"/>
    </row>
    <row r="112" spans="1:13" ht="27.95" customHeight="1" thickBot="1">
      <c r="A112" s="123"/>
      <c r="B112" s="128"/>
      <c r="C112" s="129"/>
      <c r="D112" s="33" t="s">
        <v>1</v>
      </c>
      <c r="E112" s="13" t="s">
        <v>2</v>
      </c>
      <c r="F112" s="14" t="s">
        <v>1</v>
      </c>
      <c r="G112" s="32" t="s">
        <v>27</v>
      </c>
      <c r="H112" s="15" t="s">
        <v>1</v>
      </c>
      <c r="I112" s="16" t="s">
        <v>28</v>
      </c>
      <c r="J112" s="34" t="s">
        <v>1</v>
      </c>
      <c r="K112" s="17" t="s">
        <v>29</v>
      </c>
    </row>
    <row r="113" spans="1:13" ht="15.75" customHeight="1" thickBot="1">
      <c r="A113" s="101" t="s">
        <v>50</v>
      </c>
      <c r="B113" s="137" t="s">
        <v>35</v>
      </c>
      <c r="C113" s="138"/>
      <c r="D113" s="2">
        <f>[9]LICITAÇÃO!D6</f>
        <v>1</v>
      </c>
      <c r="E113" s="2">
        <f>[9]LICITAÇÃO!E6</f>
        <v>30</v>
      </c>
      <c r="F113" s="3">
        <f>[9]LICITAÇÃO!F6</f>
        <v>6107.23</v>
      </c>
      <c r="G113" s="4">
        <f>[9]LICITAÇÃO!G6</f>
        <v>35.270000000000003</v>
      </c>
      <c r="H113" s="5">
        <f t="shared" ref="H113:I118" si="12">ROUND(D113*F113,2)</f>
        <v>6107.23</v>
      </c>
      <c r="I113" s="6">
        <f t="shared" si="12"/>
        <v>1058.0999999999999</v>
      </c>
      <c r="J113" s="3">
        <f t="shared" ref="J113:K118" si="13">ROUND(H113*12,2)</f>
        <v>73286.759999999995</v>
      </c>
      <c r="K113" s="7">
        <f t="shared" si="13"/>
        <v>12697.2</v>
      </c>
    </row>
    <row r="114" spans="1:13" ht="15.75" customHeight="1" thickBot="1">
      <c r="A114" s="101"/>
      <c r="B114" s="137" t="s">
        <v>36</v>
      </c>
      <c r="C114" s="138"/>
      <c r="D114" s="2">
        <f>[9]LICITAÇÃO!D7</f>
        <v>1</v>
      </c>
      <c r="E114" s="2">
        <f>[9]LICITAÇÃO!E7</f>
        <v>30</v>
      </c>
      <c r="F114" s="3">
        <f>[9]LICITAÇÃO!F7</f>
        <v>6107.23</v>
      </c>
      <c r="G114" s="4">
        <f>[9]LICITAÇÃO!G7</f>
        <v>35.270000000000003</v>
      </c>
      <c r="H114" s="5">
        <f t="shared" si="12"/>
        <v>6107.23</v>
      </c>
      <c r="I114" s="6">
        <f t="shared" si="12"/>
        <v>1058.0999999999999</v>
      </c>
      <c r="J114" s="3">
        <f t="shared" si="13"/>
        <v>73286.759999999995</v>
      </c>
      <c r="K114" s="7">
        <f t="shared" si="13"/>
        <v>12697.2</v>
      </c>
    </row>
    <row r="115" spans="1:13" ht="15.75" customHeight="1" thickBot="1">
      <c r="A115" s="101"/>
      <c r="B115" s="137" t="s">
        <v>37</v>
      </c>
      <c r="C115" s="138"/>
      <c r="D115" s="2">
        <f>[9]LICITAÇÃO!D8</f>
        <v>3</v>
      </c>
      <c r="E115" s="2">
        <f>[9]LICITAÇÃO!E8</f>
        <v>40</v>
      </c>
      <c r="F115" s="3">
        <f>[9]LICITAÇÃO!F8</f>
        <v>4214.45</v>
      </c>
      <c r="G115" s="4">
        <f>[9]LICITAÇÃO!G8</f>
        <v>20.84</v>
      </c>
      <c r="H115" s="5">
        <f t="shared" si="12"/>
        <v>12643.35</v>
      </c>
      <c r="I115" s="6">
        <f t="shared" si="12"/>
        <v>833.6</v>
      </c>
      <c r="J115" s="3">
        <f t="shared" si="13"/>
        <v>151720.20000000001</v>
      </c>
      <c r="K115" s="7">
        <f t="shared" si="13"/>
        <v>10003.200000000001</v>
      </c>
    </row>
    <row r="116" spans="1:13" ht="15.75" customHeight="1" thickBot="1">
      <c r="A116" s="101"/>
      <c r="B116" s="137" t="s">
        <v>38</v>
      </c>
      <c r="C116" s="138"/>
      <c r="D116" s="2">
        <f>[9]LICITAÇÃO!D9</f>
        <v>2</v>
      </c>
      <c r="E116" s="2">
        <f>[9]LICITAÇÃO!E9</f>
        <v>40</v>
      </c>
      <c r="F116" s="3">
        <f>[9]LICITAÇÃO!F9</f>
        <v>3404.4</v>
      </c>
      <c r="G116" s="4">
        <f>[9]LICITAÇÃO!G9</f>
        <v>16.329999999999998</v>
      </c>
      <c r="H116" s="5">
        <f t="shared" si="12"/>
        <v>6808.8</v>
      </c>
      <c r="I116" s="6">
        <f t="shared" si="12"/>
        <v>653.20000000000005</v>
      </c>
      <c r="J116" s="3">
        <f t="shared" si="13"/>
        <v>81705.600000000006</v>
      </c>
      <c r="K116" s="7">
        <f t="shared" si="13"/>
        <v>7838.4</v>
      </c>
    </row>
    <row r="117" spans="1:13" ht="15.75" customHeight="1" thickBot="1">
      <c r="A117" s="101"/>
      <c r="B117" s="137" t="s">
        <v>39</v>
      </c>
      <c r="C117" s="138"/>
      <c r="D117" s="2">
        <f>[9]LICITAÇÃO!D10</f>
        <v>1</v>
      </c>
      <c r="E117" s="2">
        <f>[9]LICITAÇÃO!E10</f>
        <v>0</v>
      </c>
      <c r="F117" s="3">
        <f>[9]LICITAÇÃO!F10</f>
        <v>7137.5599999999995</v>
      </c>
      <c r="G117" s="4">
        <f>[9]LICITAÇÃO!G10</f>
        <v>35.270000000000003</v>
      </c>
      <c r="H117" s="5">
        <f t="shared" si="12"/>
        <v>7137.56</v>
      </c>
      <c r="I117" s="6">
        <f t="shared" si="12"/>
        <v>0</v>
      </c>
      <c r="J117" s="3">
        <f t="shared" si="13"/>
        <v>85650.72</v>
      </c>
      <c r="K117" s="7">
        <f t="shared" si="13"/>
        <v>0</v>
      </c>
    </row>
    <row r="118" spans="1:13" ht="15.75" customHeight="1" thickBot="1">
      <c r="A118" s="101"/>
      <c r="B118" s="139" t="s">
        <v>40</v>
      </c>
      <c r="C118" s="140"/>
      <c r="D118" s="2">
        <f>[9]LICITAÇÃO!D11</f>
        <v>1</v>
      </c>
      <c r="E118" s="2">
        <f>[9]LICITAÇÃO!E11</f>
        <v>40</v>
      </c>
      <c r="F118" s="3">
        <f>[9]LICITAÇÃO!F11</f>
        <v>6107.23</v>
      </c>
      <c r="G118" s="4">
        <f>[9]LICITAÇÃO!G11</f>
        <v>35.270000000000003</v>
      </c>
      <c r="H118" s="5">
        <f t="shared" si="12"/>
        <v>6107.23</v>
      </c>
      <c r="I118" s="6">
        <f t="shared" si="12"/>
        <v>1410.8</v>
      </c>
      <c r="J118" s="3">
        <f t="shared" si="13"/>
        <v>73286.759999999995</v>
      </c>
      <c r="K118" s="7">
        <f t="shared" si="13"/>
        <v>16929.599999999999</v>
      </c>
    </row>
    <row r="119" spans="1:13" ht="15.75" customHeight="1" thickBot="1">
      <c r="A119" s="101"/>
      <c r="B119" s="141" t="s">
        <v>41</v>
      </c>
      <c r="C119" s="142"/>
      <c r="D119" s="2">
        <f>[9]LICITAÇÃO!D12</f>
        <v>0</v>
      </c>
      <c r="E119" s="2">
        <f>[9]LICITAÇÃO!E12</f>
        <v>40</v>
      </c>
      <c r="F119" s="3">
        <f>[9]LICITAÇÃO!F12</f>
        <v>6107.23</v>
      </c>
      <c r="G119" s="4">
        <f>[9]LICITAÇÃO!G12</f>
        <v>35.270000000000003</v>
      </c>
      <c r="H119" s="5"/>
      <c r="I119" s="6">
        <f>ROUND(E119*G119,2)</f>
        <v>1410.8</v>
      </c>
      <c r="J119" s="3"/>
      <c r="K119" s="7">
        <f>ROUND(I119*12,2)</f>
        <v>16929.599999999999</v>
      </c>
      <c r="M119" s="1">
        <f>SUM(D113:D119)</f>
        <v>9</v>
      </c>
    </row>
    <row r="120" spans="1:13" ht="15.75" customHeight="1" thickBot="1">
      <c r="A120" s="101"/>
      <c r="B120" s="95" t="s">
        <v>32</v>
      </c>
      <c r="C120" s="96"/>
      <c r="D120" s="96"/>
      <c r="E120" s="96"/>
      <c r="F120" s="8"/>
      <c r="G120" s="8"/>
      <c r="H120" s="5">
        <f>SUM(H113:H119)</f>
        <v>44911.399999999994</v>
      </c>
      <c r="I120" s="6">
        <f>SUM(I113:I119)</f>
        <v>6424.6</v>
      </c>
      <c r="J120" s="9">
        <f>SUM(J113:J119)</f>
        <v>538936.79999999993</v>
      </c>
      <c r="K120" s="10">
        <f>SUM(K113:K119)</f>
        <v>77095.200000000012</v>
      </c>
    </row>
    <row r="121" spans="1:13" ht="15.75" customHeight="1" thickBot="1">
      <c r="A121" s="102"/>
      <c r="B121" s="95" t="s">
        <v>33</v>
      </c>
      <c r="C121" s="96"/>
      <c r="D121" s="96"/>
      <c r="E121" s="96"/>
      <c r="F121" s="11"/>
      <c r="G121" s="11"/>
      <c r="H121" s="90">
        <f>SUM(H113:H119)+SUM(I113:I119)</f>
        <v>51335.999999999993</v>
      </c>
      <c r="I121" s="110"/>
      <c r="J121" s="99">
        <f>SUM(J113:J119)+SUM(K113:K119)</f>
        <v>616032</v>
      </c>
      <c r="K121" s="100"/>
    </row>
    <row r="122" spans="1:13" ht="15.75" customHeight="1" thickBot="1">
      <c r="A122" s="103"/>
      <c r="B122" s="111" t="s">
        <v>34</v>
      </c>
      <c r="C122" s="112"/>
      <c r="D122" s="112"/>
      <c r="E122" s="112"/>
      <c r="F122" s="38" t="s">
        <v>1</v>
      </c>
      <c r="G122" s="39" t="s">
        <v>42</v>
      </c>
      <c r="H122" s="30"/>
      <c r="I122" s="31"/>
      <c r="J122" s="26"/>
      <c r="K122" s="27"/>
    </row>
    <row r="123" spans="1:13" ht="15.75" thickBot="1">
      <c r="A123" s="103"/>
      <c r="B123" s="113"/>
      <c r="C123" s="114"/>
      <c r="D123" s="114"/>
      <c r="E123" s="114"/>
      <c r="F123" s="40">
        <f>[9]LICITAÇÃO!F16</f>
        <v>26000</v>
      </c>
      <c r="G123" s="41">
        <f>[9]LICITAÇÃO!G16</f>
        <v>3972.7999999999997</v>
      </c>
      <c r="H123" s="97">
        <f>F123+G123</f>
        <v>29972.799999999999</v>
      </c>
      <c r="I123" s="98"/>
      <c r="J123" s="105">
        <f>ROUND(12*H123,2)</f>
        <v>359673.59999999998</v>
      </c>
      <c r="K123" s="106"/>
    </row>
    <row r="124" spans="1:13" ht="15.75" customHeight="1" thickBot="1">
      <c r="A124" s="104"/>
      <c r="B124" s="143"/>
      <c r="C124" s="144"/>
      <c r="D124" s="144"/>
      <c r="E124" s="144"/>
      <c r="F124" s="38" t="s">
        <v>52</v>
      </c>
      <c r="G124" s="43" t="s">
        <v>53</v>
      </c>
      <c r="H124" s="30"/>
      <c r="I124" s="31"/>
      <c r="J124" s="26"/>
      <c r="K124" s="27"/>
    </row>
    <row r="125" spans="1:13" ht="15.75" customHeight="1" thickBot="1">
      <c r="A125" s="103"/>
      <c r="B125" s="95" t="s">
        <v>43</v>
      </c>
      <c r="C125" s="96"/>
      <c r="D125" s="96"/>
      <c r="E125" s="96"/>
      <c r="F125" s="40">
        <f>[9]LICITAÇÃO!F18</f>
        <v>3000</v>
      </c>
      <c r="G125" s="41">
        <f>[9]LICITAÇÃO!G18</f>
        <v>1.41</v>
      </c>
      <c r="H125" s="97">
        <f>ROUND(F125*G125,2)</f>
        <v>4230</v>
      </c>
      <c r="I125" s="98"/>
      <c r="J125" s="99">
        <f>ROUND(H125*12,2)</f>
        <v>50760</v>
      </c>
      <c r="K125" s="100"/>
    </row>
    <row r="126" spans="1:13" ht="15.75" customHeight="1" thickBot="1">
      <c r="A126" s="103"/>
      <c r="B126" s="95" t="s">
        <v>44</v>
      </c>
      <c r="C126" s="96"/>
      <c r="D126" s="96"/>
      <c r="E126" s="96"/>
      <c r="F126" s="40">
        <f>[9]LICITAÇÃO!F19</f>
        <v>16</v>
      </c>
      <c r="G126" s="41">
        <f>[9]LICITAÇÃO!G19</f>
        <v>89.65</v>
      </c>
      <c r="H126" s="97">
        <f>ROUND(F126*G126,2)</f>
        <v>1434.4</v>
      </c>
      <c r="I126" s="98"/>
      <c r="J126" s="99">
        <f>ROUND(H126*12,2)</f>
        <v>17212.8</v>
      </c>
      <c r="K126" s="100"/>
    </row>
    <row r="127" spans="1:13" ht="15.75" customHeight="1" thickBot="1">
      <c r="A127" s="46"/>
      <c r="B127" s="95" t="s">
        <v>56</v>
      </c>
      <c r="C127" s="96"/>
      <c r="D127" s="96"/>
      <c r="E127" s="96"/>
      <c r="F127" s="96"/>
      <c r="G127" s="115"/>
      <c r="H127" s="97">
        <f>[9]LICITAÇÃO!$H$20</f>
        <v>1450</v>
      </c>
      <c r="I127" s="98"/>
      <c r="J127" s="99">
        <f>ROUND(H127*12,2)</f>
        <v>17400</v>
      </c>
      <c r="K127" s="100"/>
    </row>
    <row r="128" spans="1:13" ht="15.75" customHeight="1" thickBot="1">
      <c r="A128" s="44"/>
      <c r="B128" s="120" t="s">
        <v>30</v>
      </c>
      <c r="C128" s="121"/>
      <c r="D128" s="121"/>
      <c r="E128" s="121"/>
      <c r="F128" s="121"/>
      <c r="G128" s="121"/>
      <c r="H128" s="116">
        <f>SUM(H121:I127)</f>
        <v>88423.199999999983</v>
      </c>
      <c r="I128" s="117"/>
      <c r="J128" s="118"/>
      <c r="K128" s="119"/>
    </row>
    <row r="129" spans="1:13" ht="15.75" customHeight="1" thickBot="1">
      <c r="A129" s="45"/>
      <c r="B129" s="120" t="s">
        <v>31</v>
      </c>
      <c r="C129" s="121"/>
      <c r="D129" s="121"/>
      <c r="E129" s="121"/>
      <c r="F129" s="121"/>
      <c r="G129" s="121"/>
      <c r="H129" s="25"/>
      <c r="I129" s="25"/>
      <c r="J129" s="109">
        <f>SUM(J121:K128)</f>
        <v>1061078.3999999999</v>
      </c>
      <c r="K129" s="106"/>
    </row>
    <row r="130" spans="1:13" ht="27.95" customHeight="1" thickBot="1">
      <c r="A130" s="122" t="s">
        <v>0</v>
      </c>
      <c r="B130" s="126" t="s">
        <v>22</v>
      </c>
      <c r="C130" s="127"/>
      <c r="D130" s="130" t="s">
        <v>23</v>
      </c>
      <c r="E130" s="131"/>
      <c r="F130" s="132" t="s">
        <v>24</v>
      </c>
      <c r="G130" s="133"/>
      <c r="H130" s="134" t="s">
        <v>25</v>
      </c>
      <c r="I130" s="135"/>
      <c r="J130" s="133" t="s">
        <v>26</v>
      </c>
      <c r="K130" s="136"/>
    </row>
    <row r="131" spans="1:13" ht="27.95" customHeight="1" thickBot="1">
      <c r="A131" s="123"/>
      <c r="B131" s="128"/>
      <c r="C131" s="129"/>
      <c r="D131" s="33" t="s">
        <v>1</v>
      </c>
      <c r="E131" s="13" t="s">
        <v>2</v>
      </c>
      <c r="F131" s="14" t="s">
        <v>1</v>
      </c>
      <c r="G131" s="32" t="s">
        <v>27</v>
      </c>
      <c r="H131" s="15" t="s">
        <v>1</v>
      </c>
      <c r="I131" s="16" t="s">
        <v>28</v>
      </c>
      <c r="J131" s="34" t="s">
        <v>1</v>
      </c>
      <c r="K131" s="17" t="s">
        <v>29</v>
      </c>
    </row>
    <row r="132" spans="1:13" ht="15.75" customHeight="1" thickBot="1">
      <c r="A132" s="101" t="s">
        <v>51</v>
      </c>
      <c r="B132" s="137" t="s">
        <v>35</v>
      </c>
      <c r="C132" s="138"/>
      <c r="D132" s="2">
        <f>[10]LICITAÇÃO!D6</f>
        <v>1</v>
      </c>
      <c r="E132" s="2">
        <f>[10]LICITAÇÃO!E6</f>
        <v>30</v>
      </c>
      <c r="F132" s="3">
        <f>[10]LICITAÇÃO!F6</f>
        <v>6107.23</v>
      </c>
      <c r="G132" s="4">
        <f>[10]LICITAÇÃO!G6</f>
        <v>35.270000000000003</v>
      </c>
      <c r="H132" s="5">
        <f t="shared" ref="H132:I137" si="14">ROUND(D132*F132,2)</f>
        <v>6107.23</v>
      </c>
      <c r="I132" s="6">
        <f t="shared" si="14"/>
        <v>1058.0999999999999</v>
      </c>
      <c r="J132" s="3">
        <f t="shared" ref="J132:K137" si="15">ROUND(H132*12,2)</f>
        <v>73286.759999999995</v>
      </c>
      <c r="K132" s="7">
        <f t="shared" si="15"/>
        <v>12697.2</v>
      </c>
    </row>
    <row r="133" spans="1:13" ht="15.75" customHeight="1" thickBot="1">
      <c r="A133" s="101"/>
      <c r="B133" s="137" t="s">
        <v>36</v>
      </c>
      <c r="C133" s="138"/>
      <c r="D133" s="2">
        <f>[10]LICITAÇÃO!D7</f>
        <v>1</v>
      </c>
      <c r="E133" s="2">
        <f>[10]LICITAÇÃO!E7</f>
        <v>30</v>
      </c>
      <c r="F133" s="3">
        <f>[10]LICITAÇÃO!F7</f>
        <v>6107.23</v>
      </c>
      <c r="G133" s="4">
        <f>[10]LICITAÇÃO!G7</f>
        <v>35.270000000000003</v>
      </c>
      <c r="H133" s="5">
        <f t="shared" si="14"/>
        <v>6107.23</v>
      </c>
      <c r="I133" s="6">
        <f t="shared" si="14"/>
        <v>1058.0999999999999</v>
      </c>
      <c r="J133" s="3">
        <f t="shared" si="15"/>
        <v>73286.759999999995</v>
      </c>
      <c r="K133" s="7">
        <f t="shared" si="15"/>
        <v>12697.2</v>
      </c>
    </row>
    <row r="134" spans="1:13" ht="15.75" customHeight="1" thickBot="1">
      <c r="A134" s="101"/>
      <c r="B134" s="137" t="s">
        <v>37</v>
      </c>
      <c r="C134" s="138"/>
      <c r="D134" s="2">
        <f>[10]LICITAÇÃO!D8</f>
        <v>2</v>
      </c>
      <c r="E134" s="2">
        <f>[10]LICITAÇÃO!E8</f>
        <v>40</v>
      </c>
      <c r="F134" s="3">
        <f>[10]LICITAÇÃO!F8</f>
        <v>4214.45</v>
      </c>
      <c r="G134" s="4">
        <f>[10]LICITAÇÃO!G8</f>
        <v>20.84</v>
      </c>
      <c r="H134" s="5">
        <f t="shared" si="14"/>
        <v>8428.9</v>
      </c>
      <c r="I134" s="6">
        <f t="shared" si="14"/>
        <v>833.6</v>
      </c>
      <c r="J134" s="3">
        <f t="shared" si="15"/>
        <v>101146.8</v>
      </c>
      <c r="K134" s="7">
        <f t="shared" si="15"/>
        <v>10003.200000000001</v>
      </c>
    </row>
    <row r="135" spans="1:13" ht="15.75" customHeight="1" thickBot="1">
      <c r="A135" s="101"/>
      <c r="B135" s="137" t="s">
        <v>38</v>
      </c>
      <c r="C135" s="138"/>
      <c r="D135" s="2">
        <f>[10]LICITAÇÃO!D9</f>
        <v>2</v>
      </c>
      <c r="E135" s="2">
        <f>[10]LICITAÇÃO!E9</f>
        <v>40</v>
      </c>
      <c r="F135" s="3">
        <f>[10]LICITAÇÃO!F9</f>
        <v>3404.4</v>
      </c>
      <c r="G135" s="4">
        <f>[10]LICITAÇÃO!G9</f>
        <v>16.329999999999998</v>
      </c>
      <c r="H135" s="5">
        <f t="shared" si="14"/>
        <v>6808.8</v>
      </c>
      <c r="I135" s="6">
        <f t="shared" si="14"/>
        <v>653.20000000000005</v>
      </c>
      <c r="J135" s="3">
        <f t="shared" si="15"/>
        <v>81705.600000000006</v>
      </c>
      <c r="K135" s="7">
        <f t="shared" si="15"/>
        <v>7838.4</v>
      </c>
    </row>
    <row r="136" spans="1:13" ht="15.75" customHeight="1" thickBot="1">
      <c r="A136" s="101"/>
      <c r="B136" s="137" t="s">
        <v>39</v>
      </c>
      <c r="C136" s="138"/>
      <c r="D136" s="2">
        <f>[10]LICITAÇÃO!D10</f>
        <v>1</v>
      </c>
      <c r="E136" s="2">
        <f>[10]LICITAÇÃO!E10</f>
        <v>0</v>
      </c>
      <c r="F136" s="3">
        <f>[10]LICITAÇÃO!F10</f>
        <v>7137.5599999999995</v>
      </c>
      <c r="G136" s="4">
        <f>[10]LICITAÇÃO!G10</f>
        <v>35.270000000000003</v>
      </c>
      <c r="H136" s="5">
        <f t="shared" si="14"/>
        <v>7137.56</v>
      </c>
      <c r="I136" s="6">
        <f t="shared" si="14"/>
        <v>0</v>
      </c>
      <c r="J136" s="3">
        <f t="shared" si="15"/>
        <v>85650.72</v>
      </c>
      <c r="K136" s="7">
        <f t="shared" si="15"/>
        <v>0</v>
      </c>
    </row>
    <row r="137" spans="1:13" ht="15.75" customHeight="1" thickBot="1">
      <c r="A137" s="101"/>
      <c r="B137" s="139" t="s">
        <v>40</v>
      </c>
      <c r="C137" s="140"/>
      <c r="D137" s="2">
        <f>[10]LICITAÇÃO!D11</f>
        <v>1</v>
      </c>
      <c r="E137" s="2">
        <f>[10]LICITAÇÃO!E11</f>
        <v>40</v>
      </c>
      <c r="F137" s="3">
        <f>[10]LICITAÇÃO!F11</f>
        <v>6107.23</v>
      </c>
      <c r="G137" s="4">
        <f>[10]LICITAÇÃO!G11</f>
        <v>35.270000000000003</v>
      </c>
      <c r="H137" s="5">
        <f t="shared" si="14"/>
        <v>6107.23</v>
      </c>
      <c r="I137" s="6">
        <f t="shared" si="14"/>
        <v>1410.8</v>
      </c>
      <c r="J137" s="3">
        <f t="shared" si="15"/>
        <v>73286.759999999995</v>
      </c>
      <c r="K137" s="7">
        <f t="shared" si="15"/>
        <v>16929.599999999999</v>
      </c>
      <c r="M137" s="1">
        <f>SUM(D131:D137)</f>
        <v>8</v>
      </c>
    </row>
    <row r="138" spans="1:13" ht="15.75" customHeight="1" thickBot="1">
      <c r="A138" s="101"/>
      <c r="B138" s="141" t="s">
        <v>41</v>
      </c>
      <c r="C138" s="142"/>
      <c r="D138" s="2">
        <f>[10]LICITAÇÃO!D12</f>
        <v>0</v>
      </c>
      <c r="E138" s="2">
        <f>[10]LICITAÇÃO!E12</f>
        <v>40</v>
      </c>
      <c r="F138" s="3">
        <f>[10]LICITAÇÃO!F12</f>
        <v>6107.23</v>
      </c>
      <c r="G138" s="4">
        <f>[10]LICITAÇÃO!G12</f>
        <v>35.270000000000003</v>
      </c>
      <c r="H138" s="5"/>
      <c r="I138" s="6">
        <f>ROUND(E138*G138,2)</f>
        <v>1410.8</v>
      </c>
      <c r="J138" s="3"/>
      <c r="K138" s="7">
        <f>ROUND(I138*12,2)</f>
        <v>16929.599999999999</v>
      </c>
    </row>
    <row r="139" spans="1:13" ht="15.75" customHeight="1" thickBot="1">
      <c r="A139" s="101"/>
      <c r="B139" s="95" t="s">
        <v>32</v>
      </c>
      <c r="C139" s="96"/>
      <c r="D139" s="96"/>
      <c r="E139" s="96"/>
      <c r="F139" s="8"/>
      <c r="G139" s="8"/>
      <c r="H139" s="5">
        <f>SUM(H132:H138)</f>
        <v>40696.949999999997</v>
      </c>
      <c r="I139" s="6">
        <f>SUM(I132:I138)</f>
        <v>6424.6</v>
      </c>
      <c r="J139" s="9">
        <f>SUM(J132:J138)</f>
        <v>488363.4</v>
      </c>
      <c r="K139" s="10">
        <f>SUM(K132:K138)</f>
        <v>77095.200000000012</v>
      </c>
    </row>
    <row r="140" spans="1:13" ht="15.75" customHeight="1" thickBot="1">
      <c r="A140" s="102"/>
      <c r="B140" s="95" t="s">
        <v>33</v>
      </c>
      <c r="C140" s="96"/>
      <c r="D140" s="96"/>
      <c r="E140" s="96"/>
      <c r="F140" s="11"/>
      <c r="G140" s="11"/>
      <c r="H140" s="90">
        <f>SUM(H132:H138)+SUM(I132:I138)</f>
        <v>47121.549999999996</v>
      </c>
      <c r="I140" s="110"/>
      <c r="J140" s="99">
        <f>SUM(J132:J138)+SUM(K132:K138)</f>
        <v>565458.60000000009</v>
      </c>
      <c r="K140" s="100"/>
    </row>
    <row r="141" spans="1:13" ht="15.75" customHeight="1" thickBot="1">
      <c r="A141" s="103"/>
      <c r="B141" s="111" t="s">
        <v>34</v>
      </c>
      <c r="C141" s="112"/>
      <c r="D141" s="112"/>
      <c r="E141" s="112"/>
      <c r="F141" s="38" t="s">
        <v>1</v>
      </c>
      <c r="G141" s="39" t="s">
        <v>42</v>
      </c>
      <c r="H141" s="30"/>
      <c r="I141" s="31"/>
      <c r="J141" s="26"/>
      <c r="K141" s="27"/>
    </row>
    <row r="142" spans="1:13" ht="15.75" thickBot="1">
      <c r="A142" s="103"/>
      <c r="B142" s="113"/>
      <c r="C142" s="114"/>
      <c r="D142" s="114"/>
      <c r="E142" s="114"/>
      <c r="F142" s="40">
        <f>[10]LICITAÇÃO!F16</f>
        <v>26000</v>
      </c>
      <c r="G142" s="40">
        <f>[10]LICITAÇÃO!G16</f>
        <v>3972.7999999999997</v>
      </c>
      <c r="H142" s="97">
        <f>F142+G142</f>
        <v>29972.799999999999</v>
      </c>
      <c r="I142" s="98"/>
      <c r="J142" s="105">
        <f>ROUND(12*H142,2)</f>
        <v>359673.59999999998</v>
      </c>
      <c r="K142" s="106"/>
    </row>
    <row r="143" spans="1:13" ht="15.75" customHeight="1" thickBot="1">
      <c r="A143" s="104"/>
      <c r="B143" s="143"/>
      <c r="C143" s="144"/>
      <c r="D143" s="144"/>
      <c r="E143" s="144"/>
      <c r="F143" s="38" t="s">
        <v>52</v>
      </c>
      <c r="G143" s="43" t="s">
        <v>53</v>
      </c>
      <c r="H143" s="30"/>
      <c r="I143" s="31"/>
      <c r="J143" s="26"/>
      <c r="K143" s="27"/>
    </row>
    <row r="144" spans="1:13" ht="15.75" customHeight="1" thickBot="1">
      <c r="A144" s="103"/>
      <c r="B144" s="95" t="s">
        <v>43</v>
      </c>
      <c r="C144" s="96"/>
      <c r="D144" s="96"/>
      <c r="E144" s="96"/>
      <c r="F144" s="40">
        <f>[10]LICITAÇÃO!F18</f>
        <v>3000</v>
      </c>
      <c r="G144" s="40">
        <f>[10]LICITAÇÃO!G18</f>
        <v>1.41</v>
      </c>
      <c r="H144" s="97">
        <f>ROUND(F144*G144,2)</f>
        <v>4230</v>
      </c>
      <c r="I144" s="98"/>
      <c r="J144" s="99">
        <f>ROUND(H144*12,2)</f>
        <v>50760</v>
      </c>
      <c r="K144" s="100"/>
    </row>
    <row r="145" spans="1:13" ht="15.75" customHeight="1" thickBot="1">
      <c r="A145" s="103"/>
      <c r="B145" s="95" t="s">
        <v>44</v>
      </c>
      <c r="C145" s="96"/>
      <c r="D145" s="96"/>
      <c r="E145" s="96"/>
      <c r="F145" s="40">
        <f>[10]LICITAÇÃO!F19</f>
        <v>16</v>
      </c>
      <c r="G145" s="40">
        <f>[10]LICITAÇÃO!G19</f>
        <v>89.65</v>
      </c>
      <c r="H145" s="97">
        <f>ROUND(F145*G145,2)</f>
        <v>1434.4</v>
      </c>
      <c r="I145" s="98"/>
      <c r="J145" s="99">
        <f>ROUND(H145*12,2)</f>
        <v>17212.8</v>
      </c>
      <c r="K145" s="100"/>
    </row>
    <row r="146" spans="1:13" ht="15.75" customHeight="1" thickBot="1">
      <c r="A146" s="46"/>
      <c r="B146" s="95" t="s">
        <v>56</v>
      </c>
      <c r="C146" s="96"/>
      <c r="D146" s="96"/>
      <c r="E146" s="96"/>
      <c r="F146" s="96"/>
      <c r="G146" s="115"/>
      <c r="H146" s="97">
        <f>[10]LICITAÇÃO!$H$20:$I$20</f>
        <v>483.33</v>
      </c>
      <c r="I146" s="98"/>
      <c r="J146" s="99">
        <f>ROUND(H146*12,2)</f>
        <v>5799.96</v>
      </c>
      <c r="K146" s="100"/>
    </row>
    <row r="147" spans="1:13" ht="15.75" customHeight="1" thickBot="1">
      <c r="A147" s="44"/>
      <c r="B147" s="120" t="s">
        <v>30</v>
      </c>
      <c r="C147" s="121"/>
      <c r="D147" s="121"/>
      <c r="E147" s="121"/>
      <c r="F147" s="121"/>
      <c r="G147" s="121"/>
      <c r="H147" s="116">
        <f>SUM(H140:I146)</f>
        <v>83242.079999999987</v>
      </c>
      <c r="I147" s="117"/>
      <c r="J147" s="118"/>
      <c r="K147" s="119"/>
    </row>
    <row r="148" spans="1:13" ht="15.75" customHeight="1" thickBot="1">
      <c r="A148" s="45"/>
      <c r="B148" s="120" t="s">
        <v>31</v>
      </c>
      <c r="C148" s="121"/>
      <c r="D148" s="121"/>
      <c r="E148" s="121"/>
      <c r="F148" s="121"/>
      <c r="G148" s="121"/>
      <c r="H148" s="25"/>
      <c r="I148" s="25"/>
      <c r="J148" s="109">
        <f>SUM(J140:K147)</f>
        <v>998904.96000000008</v>
      </c>
      <c r="K148" s="106"/>
    </row>
    <row r="149" spans="1:13" ht="10.5" customHeight="1" thickBot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4"/>
    </row>
    <row r="150" spans="1:13" ht="15.75" thickBot="1">
      <c r="A150" s="107" t="s">
        <v>13</v>
      </c>
      <c r="B150" s="108"/>
      <c r="C150" s="108"/>
      <c r="D150" s="108"/>
      <c r="E150" s="108"/>
      <c r="F150" s="108"/>
      <c r="G150" s="108"/>
      <c r="H150" s="90">
        <f>H147+H128+H109+H90+H72+H54+H35+H17</f>
        <v>910379.86999999988</v>
      </c>
      <c r="I150" s="91"/>
      <c r="J150" s="124"/>
      <c r="K150" s="125"/>
      <c r="M150" s="1">
        <f>SUM(M11:M137)</f>
        <v>100</v>
      </c>
    </row>
    <row r="151" spans="1:13" ht="15.75" thickBot="1">
      <c r="A151" s="120" t="s">
        <v>14</v>
      </c>
      <c r="B151" s="121"/>
      <c r="C151" s="121"/>
      <c r="D151" s="121"/>
      <c r="E151" s="121"/>
      <c r="F151" s="121"/>
      <c r="G151" s="121"/>
      <c r="H151" s="90"/>
      <c r="I151" s="91"/>
      <c r="J151" s="90">
        <f>J148+J129+J110+J91+J73+J55+J36+J18</f>
        <v>10924558.439999999</v>
      </c>
      <c r="K151" s="91"/>
    </row>
  </sheetData>
  <sheetProtection selectLockedCells="1" selectUnlockedCells="1"/>
  <mergeCells count="280">
    <mergeCell ref="J89:K89"/>
    <mergeCell ref="H90:I90"/>
    <mergeCell ref="B96:C96"/>
    <mergeCell ref="J102:K102"/>
    <mergeCell ref="B82:C82"/>
    <mergeCell ref="H84:I84"/>
    <mergeCell ref="J84:K84"/>
    <mergeCell ref="J86:K86"/>
    <mergeCell ref="B94:C94"/>
    <mergeCell ref="B95:C95"/>
    <mergeCell ref="B90:G90"/>
    <mergeCell ref="B91:G91"/>
    <mergeCell ref="J90:K90"/>
    <mergeCell ref="H102:I102"/>
    <mergeCell ref="F92:G92"/>
    <mergeCell ref="H92:I92"/>
    <mergeCell ref="J92:K92"/>
    <mergeCell ref="B101:E101"/>
    <mergeCell ref="B102:E102"/>
    <mergeCell ref="H29:I29"/>
    <mergeCell ref="J29:K29"/>
    <mergeCell ref="B21:C21"/>
    <mergeCell ref="B30:E31"/>
    <mergeCell ref="H31:I31"/>
    <mergeCell ref="A58:A71"/>
    <mergeCell ref="A74:A75"/>
    <mergeCell ref="J73:K73"/>
    <mergeCell ref="D74:E74"/>
    <mergeCell ref="F74:G74"/>
    <mergeCell ref="H74:I74"/>
    <mergeCell ref="J74:K74"/>
    <mergeCell ref="H70:I70"/>
    <mergeCell ref="B72:G72"/>
    <mergeCell ref="B73:G73"/>
    <mergeCell ref="B62:C62"/>
    <mergeCell ref="B63:C63"/>
    <mergeCell ref="B64:C64"/>
    <mergeCell ref="J70:K70"/>
    <mergeCell ref="B58:C58"/>
    <mergeCell ref="B59:C59"/>
    <mergeCell ref="B60:C60"/>
    <mergeCell ref="B61:C61"/>
    <mergeCell ref="B70:E70"/>
    <mergeCell ref="A2:K2"/>
    <mergeCell ref="A3:A4"/>
    <mergeCell ref="B3:C4"/>
    <mergeCell ref="B9:C9"/>
    <mergeCell ref="B10:C10"/>
    <mergeCell ref="B8:C8"/>
    <mergeCell ref="B5:C5"/>
    <mergeCell ref="B6:C6"/>
    <mergeCell ref="B7:C7"/>
    <mergeCell ref="A5:A18"/>
    <mergeCell ref="B17:G17"/>
    <mergeCell ref="B18:G18"/>
    <mergeCell ref="H15:I15"/>
    <mergeCell ref="J18:K18"/>
    <mergeCell ref="D3:E3"/>
    <mergeCell ref="F3:G3"/>
    <mergeCell ref="H3:I3"/>
    <mergeCell ref="J3:K3"/>
    <mergeCell ref="B11:C11"/>
    <mergeCell ref="B12:E12"/>
    <mergeCell ref="B13:E13"/>
    <mergeCell ref="B14:E15"/>
    <mergeCell ref="H17:I17"/>
    <mergeCell ref="J17:K17"/>
    <mergeCell ref="H71:I71"/>
    <mergeCell ref="J71:K71"/>
    <mergeCell ref="H72:I72"/>
    <mergeCell ref="J72:K72"/>
    <mergeCell ref="B71:E71"/>
    <mergeCell ref="H13:I13"/>
    <mergeCell ref="J13:K13"/>
    <mergeCell ref="J15:K15"/>
    <mergeCell ref="B19:C20"/>
    <mergeCell ref="J51:K51"/>
    <mergeCell ref="H52:I52"/>
    <mergeCell ref="J52:K52"/>
    <mergeCell ref="H47:I47"/>
    <mergeCell ref="J47:K47"/>
    <mergeCell ref="H49:I49"/>
    <mergeCell ref="J49:K49"/>
    <mergeCell ref="B16:G16"/>
    <mergeCell ref="H16:I16"/>
    <mergeCell ref="J16:K16"/>
    <mergeCell ref="B26:C26"/>
    <mergeCell ref="B27:C27"/>
    <mergeCell ref="H51:I51"/>
    <mergeCell ref="B28:E28"/>
    <mergeCell ref="B29:E29"/>
    <mergeCell ref="J19:K19"/>
    <mergeCell ref="H19:I19"/>
    <mergeCell ref="F19:G19"/>
    <mergeCell ref="D19:E19"/>
    <mergeCell ref="B32:E32"/>
    <mergeCell ref="A19:A20"/>
    <mergeCell ref="A37:A38"/>
    <mergeCell ref="B37:C38"/>
    <mergeCell ref="D37:E37"/>
    <mergeCell ref="F37:G37"/>
    <mergeCell ref="J31:K31"/>
    <mergeCell ref="B34:E34"/>
    <mergeCell ref="H35:I35"/>
    <mergeCell ref="J36:K36"/>
    <mergeCell ref="H34:I34"/>
    <mergeCell ref="J34:K34"/>
    <mergeCell ref="J35:K35"/>
    <mergeCell ref="B33:E33"/>
    <mergeCell ref="H33:I33"/>
    <mergeCell ref="J33:K33"/>
    <mergeCell ref="H37:I37"/>
    <mergeCell ref="J37:K37"/>
    <mergeCell ref="B22:C22"/>
    <mergeCell ref="B23:C23"/>
    <mergeCell ref="B35:G35"/>
    <mergeCell ref="B36:G36"/>
    <mergeCell ref="B24:C24"/>
    <mergeCell ref="B25:C25"/>
    <mergeCell ref="A21:A34"/>
    <mergeCell ref="H88:I88"/>
    <mergeCell ref="J88:K88"/>
    <mergeCell ref="H89:I89"/>
    <mergeCell ref="J91:K91"/>
    <mergeCell ref="H86:I86"/>
    <mergeCell ref="A39:A52"/>
    <mergeCell ref="B40:C40"/>
    <mergeCell ref="B41:C41"/>
    <mergeCell ref="B42:C42"/>
    <mergeCell ref="B43:C43"/>
    <mergeCell ref="B44:C44"/>
    <mergeCell ref="B45:C45"/>
    <mergeCell ref="B50:E50"/>
    <mergeCell ref="B39:C39"/>
    <mergeCell ref="B51:E51"/>
    <mergeCell ref="B46:E46"/>
    <mergeCell ref="B52:E52"/>
    <mergeCell ref="B48:E49"/>
    <mergeCell ref="B47:E47"/>
    <mergeCell ref="J54:K54"/>
    <mergeCell ref="J55:K55"/>
    <mergeCell ref="A56:A57"/>
    <mergeCell ref="B56:C57"/>
    <mergeCell ref="D56:E56"/>
    <mergeCell ref="F56:G56"/>
    <mergeCell ref="H56:I56"/>
    <mergeCell ref="J56:K56"/>
    <mergeCell ref="B69:E69"/>
    <mergeCell ref="H66:I66"/>
    <mergeCell ref="J66:K66"/>
    <mergeCell ref="B67:E68"/>
    <mergeCell ref="H68:I68"/>
    <mergeCell ref="J68:K68"/>
    <mergeCell ref="B65:E65"/>
    <mergeCell ref="B66:E66"/>
    <mergeCell ref="B55:G55"/>
    <mergeCell ref="H54:I54"/>
    <mergeCell ref="B54:G54"/>
    <mergeCell ref="A92:A93"/>
    <mergeCell ref="B92:C93"/>
    <mergeCell ref="D92:E92"/>
    <mergeCell ref="A94:A107"/>
    <mergeCell ref="B97:C97"/>
    <mergeCell ref="B98:C98"/>
    <mergeCell ref="B99:C99"/>
    <mergeCell ref="B107:E107"/>
    <mergeCell ref="B74:C75"/>
    <mergeCell ref="A76:A89"/>
    <mergeCell ref="B85:E86"/>
    <mergeCell ref="B87:E87"/>
    <mergeCell ref="B88:E88"/>
    <mergeCell ref="B89:E89"/>
    <mergeCell ref="B76:C76"/>
    <mergeCell ref="B77:C77"/>
    <mergeCell ref="B78:C78"/>
    <mergeCell ref="B79:C79"/>
    <mergeCell ref="B80:C80"/>
    <mergeCell ref="B81:C81"/>
    <mergeCell ref="B83:E83"/>
    <mergeCell ref="B84:E84"/>
    <mergeCell ref="B106:E106"/>
    <mergeCell ref="H106:I106"/>
    <mergeCell ref="J106:K106"/>
    <mergeCell ref="B100:C100"/>
    <mergeCell ref="B103:E104"/>
    <mergeCell ref="H104:I104"/>
    <mergeCell ref="J104:K104"/>
    <mergeCell ref="J121:K121"/>
    <mergeCell ref="B122:E123"/>
    <mergeCell ref="H123:I123"/>
    <mergeCell ref="J123:K123"/>
    <mergeCell ref="B121:E121"/>
    <mergeCell ref="H111:I111"/>
    <mergeCell ref="J111:K111"/>
    <mergeCell ref="H107:I107"/>
    <mergeCell ref="J107:K107"/>
    <mergeCell ref="B105:E105"/>
    <mergeCell ref="A111:A112"/>
    <mergeCell ref="B111:C112"/>
    <mergeCell ref="D111:E111"/>
    <mergeCell ref="F111:G111"/>
    <mergeCell ref="A113:A126"/>
    <mergeCell ref="B113:C113"/>
    <mergeCell ref="B114:C114"/>
    <mergeCell ref="B115:C115"/>
    <mergeCell ref="B124:E124"/>
    <mergeCell ref="B125:E125"/>
    <mergeCell ref="B120:E120"/>
    <mergeCell ref="B126:E126"/>
    <mergeCell ref="B116:C116"/>
    <mergeCell ref="B117:C117"/>
    <mergeCell ref="B118:C118"/>
    <mergeCell ref="B119:C119"/>
    <mergeCell ref="A130:A131"/>
    <mergeCell ref="H150:I150"/>
    <mergeCell ref="J150:K150"/>
    <mergeCell ref="A151:G151"/>
    <mergeCell ref="B130:C131"/>
    <mergeCell ref="D130:E130"/>
    <mergeCell ref="F130:G130"/>
    <mergeCell ref="H130:I130"/>
    <mergeCell ref="J130:K130"/>
    <mergeCell ref="B147:G147"/>
    <mergeCell ref="B148:G148"/>
    <mergeCell ref="J145:K145"/>
    <mergeCell ref="H147:I147"/>
    <mergeCell ref="J147:K147"/>
    <mergeCell ref="B132:C132"/>
    <mergeCell ref="B133:C133"/>
    <mergeCell ref="B134:C134"/>
    <mergeCell ref="B135:C135"/>
    <mergeCell ref="B136:C136"/>
    <mergeCell ref="B137:C137"/>
    <mergeCell ref="B138:C138"/>
    <mergeCell ref="B139:E139"/>
    <mergeCell ref="B140:E140"/>
    <mergeCell ref="B143:E143"/>
    <mergeCell ref="B53:G53"/>
    <mergeCell ref="H53:I53"/>
    <mergeCell ref="J53:K53"/>
    <mergeCell ref="H128:I128"/>
    <mergeCell ref="J128:K128"/>
    <mergeCell ref="B129:G129"/>
    <mergeCell ref="J129:K129"/>
    <mergeCell ref="B108:G108"/>
    <mergeCell ref="H108:I108"/>
    <mergeCell ref="J108:K108"/>
    <mergeCell ref="B109:G109"/>
    <mergeCell ref="H109:I109"/>
    <mergeCell ref="J109:K109"/>
    <mergeCell ref="B110:G110"/>
    <mergeCell ref="J110:K110"/>
    <mergeCell ref="H126:I126"/>
    <mergeCell ref="J126:K126"/>
    <mergeCell ref="H125:I125"/>
    <mergeCell ref="J125:K125"/>
    <mergeCell ref="B127:G127"/>
    <mergeCell ref="H127:I127"/>
    <mergeCell ref="J127:K127"/>
    <mergeCell ref="B128:G128"/>
    <mergeCell ref="H121:I121"/>
    <mergeCell ref="J151:K151"/>
    <mergeCell ref="A149:K149"/>
    <mergeCell ref="B145:E145"/>
    <mergeCell ref="H145:I145"/>
    <mergeCell ref="H144:I144"/>
    <mergeCell ref="J144:K144"/>
    <mergeCell ref="A132:A145"/>
    <mergeCell ref="H142:I142"/>
    <mergeCell ref="J142:K142"/>
    <mergeCell ref="H151:I151"/>
    <mergeCell ref="A150:G150"/>
    <mergeCell ref="J148:K148"/>
    <mergeCell ref="B144:E144"/>
    <mergeCell ref="H140:I140"/>
    <mergeCell ref="J140:K140"/>
    <mergeCell ref="B141:E142"/>
    <mergeCell ref="B146:G146"/>
    <mergeCell ref="H146:I146"/>
    <mergeCell ref="J146:K146"/>
  </mergeCells>
  <phoneticPr fontId="0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53" firstPageNumber="0" orientation="portrait" horizontalDpi="300" verticalDpi="300" r:id="rId1"/>
  <headerFooter alignWithMargins="0"/>
  <rowBreaks count="1" manualBreakCount="1">
    <brk id="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90" zoomScaleNormal="90" zoomScaleSheetLayoutView="90" workbookViewId="0">
      <selection activeCell="O7" sqref="O7"/>
    </sheetView>
  </sheetViews>
  <sheetFormatPr defaultRowHeight="12.75"/>
  <cols>
    <col min="1" max="1" width="19.7109375" customWidth="1"/>
    <col min="2" max="2" width="12.5703125" bestFit="1" customWidth="1"/>
    <col min="3" max="3" width="11.42578125" bestFit="1" customWidth="1"/>
    <col min="4" max="4" width="14.28515625" bestFit="1" customWidth="1"/>
    <col min="5" max="6" width="12.5703125" bestFit="1" customWidth="1"/>
    <col min="7" max="7" width="14.28515625" bestFit="1" customWidth="1"/>
    <col min="8" max="8" width="11.42578125" bestFit="1" customWidth="1"/>
    <col min="9" max="9" width="12.5703125" bestFit="1" customWidth="1"/>
    <col min="10" max="10" width="11.42578125" bestFit="1" customWidth="1"/>
    <col min="11" max="11" width="12.5703125" bestFit="1" customWidth="1"/>
    <col min="12" max="12" width="11.42578125" bestFit="1" customWidth="1"/>
    <col min="13" max="14" width="12.5703125" bestFit="1" customWidth="1"/>
    <col min="15" max="15" width="15.5703125" bestFit="1" customWidth="1"/>
  </cols>
  <sheetData>
    <row r="1" spans="1:15" ht="13.5" thickBot="1"/>
    <row r="2" spans="1:15" ht="13.5" thickBot="1">
      <c r="A2" s="167" t="s">
        <v>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ht="45" customHeight="1" thickBot="1">
      <c r="A3" s="47"/>
      <c r="B3" s="165" t="s">
        <v>3</v>
      </c>
      <c r="C3" s="166"/>
      <c r="D3" s="166"/>
      <c r="E3" s="166"/>
      <c r="F3" s="161" t="s">
        <v>15</v>
      </c>
      <c r="G3" s="162"/>
      <c r="H3" s="161" t="s">
        <v>16</v>
      </c>
      <c r="I3" s="162"/>
      <c r="J3" s="161" t="s">
        <v>17</v>
      </c>
      <c r="K3" s="162"/>
      <c r="L3" s="161" t="s">
        <v>57</v>
      </c>
      <c r="M3" s="162"/>
      <c r="N3" s="165" t="s">
        <v>4</v>
      </c>
      <c r="O3" s="162"/>
    </row>
    <row r="4" spans="1:15" ht="15.75" thickBot="1">
      <c r="A4" s="170" t="s">
        <v>0</v>
      </c>
      <c r="B4" s="165" t="s">
        <v>5</v>
      </c>
      <c r="C4" s="166"/>
      <c r="D4" s="165" t="s">
        <v>6</v>
      </c>
      <c r="E4" s="166"/>
      <c r="F4" s="163" t="s">
        <v>5</v>
      </c>
      <c r="G4" s="163" t="s">
        <v>6</v>
      </c>
      <c r="H4" s="163" t="s">
        <v>5</v>
      </c>
      <c r="I4" s="163" t="s">
        <v>6</v>
      </c>
      <c r="J4" s="163" t="s">
        <v>5</v>
      </c>
      <c r="K4" s="163" t="s">
        <v>6</v>
      </c>
      <c r="L4" s="163" t="s">
        <v>5</v>
      </c>
      <c r="M4" s="163" t="s">
        <v>6</v>
      </c>
      <c r="N4" s="163" t="s">
        <v>5</v>
      </c>
      <c r="O4" s="163" t="s">
        <v>6</v>
      </c>
    </row>
    <row r="5" spans="1:15" ht="15.75" thickBot="1">
      <c r="A5" s="171"/>
      <c r="B5" s="48" t="s">
        <v>1</v>
      </c>
      <c r="C5" s="48" t="s">
        <v>2</v>
      </c>
      <c r="D5" s="48" t="s">
        <v>1</v>
      </c>
      <c r="E5" s="48" t="s">
        <v>2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20.100000000000001" customHeight="1" thickBot="1">
      <c r="A6" s="49" t="s">
        <v>8</v>
      </c>
      <c r="B6" s="50">
        <f>Polos!H12</f>
        <v>212656.52000000002</v>
      </c>
      <c r="C6" s="50">
        <f>Polos!I12</f>
        <v>9951.5999999999985</v>
      </c>
      <c r="D6" s="51">
        <f>Polos!J12</f>
        <v>2551878.2399999998</v>
      </c>
      <c r="E6" s="51">
        <f>Polos!K12</f>
        <v>119419.2</v>
      </c>
      <c r="F6" s="50">
        <f>Polos!H15</f>
        <v>80696</v>
      </c>
      <c r="G6" s="50">
        <f>Polos!J15</f>
        <v>968352</v>
      </c>
      <c r="H6" s="50">
        <v>0</v>
      </c>
      <c r="I6" s="50">
        <v>0</v>
      </c>
      <c r="J6" s="50">
        <v>0</v>
      </c>
      <c r="K6" s="50">
        <v>0</v>
      </c>
      <c r="L6" s="50">
        <f>Polos!H16</f>
        <v>12050</v>
      </c>
      <c r="M6" s="50">
        <f>Polos!J16</f>
        <v>144600</v>
      </c>
      <c r="N6" s="50">
        <f>B6+C6+F6+L6+H6+J6</f>
        <v>315354.12</v>
      </c>
      <c r="O6" s="50">
        <f>D6+E6+G6+I6+K6+M6</f>
        <v>3784249.44</v>
      </c>
    </row>
    <row r="7" spans="1:15" ht="20.100000000000001" customHeight="1" thickBot="1">
      <c r="A7" s="52" t="s">
        <v>18</v>
      </c>
      <c r="B7" s="50">
        <f>Polos!H28</f>
        <v>40696.949999999997</v>
      </c>
      <c r="C7" s="50">
        <f>Polos!I28</f>
        <v>6424.6</v>
      </c>
      <c r="D7" s="51">
        <f>Polos!J28</f>
        <v>488363.4</v>
      </c>
      <c r="E7" s="51">
        <f>Polos!K28</f>
        <v>77095.200000000012</v>
      </c>
      <c r="F7" s="50">
        <f>Polos!H31</f>
        <v>29972.799999999999</v>
      </c>
      <c r="G7" s="50">
        <f>Polos!J31</f>
        <v>359673.59999999998</v>
      </c>
      <c r="H7" s="50">
        <f>Polos!H33</f>
        <v>4230</v>
      </c>
      <c r="I7" s="50">
        <f>Polos!J33</f>
        <v>50760</v>
      </c>
      <c r="J7" s="50">
        <f>Polos!H34</f>
        <v>1434.4</v>
      </c>
      <c r="K7" s="50">
        <f>Polos!J34</f>
        <v>17212.8</v>
      </c>
      <c r="L7" s="50"/>
      <c r="M7" s="50"/>
      <c r="N7" s="50">
        <f t="shared" ref="N7:N13" si="0">B7+C7+F7+L7+H7+J7</f>
        <v>82758.749999999985</v>
      </c>
      <c r="O7" s="50">
        <f t="shared" ref="O7:O13" si="1">D7+E7+G7+I7+K7+M7</f>
        <v>993105.00000000012</v>
      </c>
    </row>
    <row r="8" spans="1:15" ht="20.100000000000001" customHeight="1" thickBot="1">
      <c r="A8" s="52" t="s">
        <v>19</v>
      </c>
      <c r="B8" s="50">
        <f>Polos!H46</f>
        <v>43949.22</v>
      </c>
      <c r="C8" s="50">
        <f>Polos!I46</f>
        <v>6424.6</v>
      </c>
      <c r="D8" s="51">
        <f>Polos!J46</f>
        <v>527390.6399999999</v>
      </c>
      <c r="E8" s="51">
        <f>Polos!K46</f>
        <v>77095.200000000012</v>
      </c>
      <c r="F8" s="50">
        <f>Polos!H49</f>
        <v>29972.799999999999</v>
      </c>
      <c r="G8" s="50">
        <f>Polos!J49</f>
        <v>359673.59999999998</v>
      </c>
      <c r="H8" s="50">
        <f>Polos!H51</f>
        <v>4230</v>
      </c>
      <c r="I8" s="50">
        <f>Polos!J51</f>
        <v>50760</v>
      </c>
      <c r="J8" s="50">
        <f>Polos!H52</f>
        <v>1434.4</v>
      </c>
      <c r="K8" s="50">
        <f>Polos!J52</f>
        <v>17212.8</v>
      </c>
      <c r="L8" s="50">
        <f>Polos!H53</f>
        <v>650</v>
      </c>
      <c r="M8" s="50">
        <f>Polos!J53</f>
        <v>7800</v>
      </c>
      <c r="N8" s="50">
        <f t="shared" si="0"/>
        <v>86661.01999999999</v>
      </c>
      <c r="O8" s="50">
        <f t="shared" si="1"/>
        <v>1039932.2399999999</v>
      </c>
    </row>
    <row r="9" spans="1:15" ht="20.100000000000001" customHeight="1" thickBot="1">
      <c r="A9" s="52" t="s">
        <v>55</v>
      </c>
      <c r="B9" s="50">
        <f>Polos!H65</f>
        <v>40696.949999999997</v>
      </c>
      <c r="C9" s="50">
        <f>Polos!I65</f>
        <v>6424.6</v>
      </c>
      <c r="D9" s="51">
        <f>Polos!J65</f>
        <v>488363.4</v>
      </c>
      <c r="E9" s="51">
        <f>Polos!K65</f>
        <v>77095.200000000012</v>
      </c>
      <c r="F9" s="50">
        <f>Polos!H68</f>
        <v>29972.799999999999</v>
      </c>
      <c r="G9" s="50">
        <f>Polos!J68</f>
        <v>359673.59999999998</v>
      </c>
      <c r="H9" s="50">
        <f>Polos!H70</f>
        <v>4230</v>
      </c>
      <c r="I9" s="50">
        <f>Polos!J70</f>
        <v>50760</v>
      </c>
      <c r="J9" s="50">
        <f>Polos!H71</f>
        <v>1434.4</v>
      </c>
      <c r="K9" s="50">
        <f>Polos!J71</f>
        <v>17212.8</v>
      </c>
      <c r="L9" s="50"/>
      <c r="M9" s="50"/>
      <c r="N9" s="50">
        <f t="shared" si="0"/>
        <v>82758.749999999985</v>
      </c>
      <c r="O9" s="50">
        <f t="shared" si="1"/>
        <v>993105.00000000012</v>
      </c>
    </row>
    <row r="10" spans="1:15" ht="20.100000000000001" customHeight="1" thickBot="1">
      <c r="A10" s="49" t="s">
        <v>9</v>
      </c>
      <c r="B10" s="50">
        <f>Polos!H83</f>
        <v>40696.949999999997</v>
      </c>
      <c r="C10" s="50">
        <f>Polos!I83</f>
        <v>6424.6</v>
      </c>
      <c r="D10" s="51">
        <f>Polos!J83</f>
        <v>488363.4</v>
      </c>
      <c r="E10" s="51">
        <f>Polos!K83</f>
        <v>77095.200000000012</v>
      </c>
      <c r="F10" s="50">
        <f>Polos!H86</f>
        <v>29972.799999999999</v>
      </c>
      <c r="G10" s="50">
        <f>Polos!J86</f>
        <v>359673.59999999998</v>
      </c>
      <c r="H10" s="50">
        <f>Polos!H88</f>
        <v>4230</v>
      </c>
      <c r="I10" s="50">
        <f>Polos!J88</f>
        <v>50760</v>
      </c>
      <c r="J10" s="50">
        <f>Polos!H89</f>
        <v>1434.4</v>
      </c>
      <c r="K10" s="50">
        <f>Polos!J89</f>
        <v>17212.8</v>
      </c>
      <c r="L10" s="50"/>
      <c r="M10" s="50"/>
      <c r="N10" s="50">
        <f t="shared" si="0"/>
        <v>82758.749999999985</v>
      </c>
      <c r="O10" s="50">
        <f t="shared" si="1"/>
        <v>993105.00000000012</v>
      </c>
    </row>
    <row r="11" spans="1:15" ht="20.100000000000001" customHeight="1" thickBot="1">
      <c r="A11" s="52" t="s">
        <v>20</v>
      </c>
      <c r="B11" s="50">
        <f>Polos!H101</f>
        <v>44911.399999999994</v>
      </c>
      <c r="C11" s="50">
        <f>Polos!I101</f>
        <v>6424.6</v>
      </c>
      <c r="D11" s="51">
        <f>Polos!J101</f>
        <v>538936.79999999993</v>
      </c>
      <c r="E11" s="51">
        <f>Polos!K101</f>
        <v>77095.200000000012</v>
      </c>
      <c r="F11" s="50">
        <f>Polos!H104</f>
        <v>29972.799999999999</v>
      </c>
      <c r="G11" s="50">
        <f>Polos!J104</f>
        <v>359673.59999999998</v>
      </c>
      <c r="H11" s="50">
        <f>Polos!H106</f>
        <v>4230</v>
      </c>
      <c r="I11" s="50">
        <f>Polos!J106</f>
        <v>50760</v>
      </c>
      <c r="J11" s="50">
        <f>Polos!H107</f>
        <v>1434.4</v>
      </c>
      <c r="K11" s="50">
        <f>Polos!J107</f>
        <v>17212.8</v>
      </c>
      <c r="L11" s="50">
        <f>Polos!H108</f>
        <v>1450</v>
      </c>
      <c r="M11" s="50">
        <f>Polos!J108</f>
        <v>17400</v>
      </c>
      <c r="N11" s="50">
        <f>B11+C11+F11+L11+H11+J11</f>
        <v>88423.199999999983</v>
      </c>
      <c r="O11" s="50">
        <f t="shared" si="1"/>
        <v>1061078.3999999999</v>
      </c>
    </row>
    <row r="12" spans="1:15" ht="20.100000000000001" customHeight="1" thickBot="1">
      <c r="A12" s="49" t="s">
        <v>10</v>
      </c>
      <c r="B12" s="50">
        <f>Polos!H120</f>
        <v>44911.399999999994</v>
      </c>
      <c r="C12" s="50">
        <f>Polos!I120</f>
        <v>6424.6</v>
      </c>
      <c r="D12" s="51">
        <f>Polos!J120</f>
        <v>538936.79999999993</v>
      </c>
      <c r="E12" s="51">
        <f>Polos!K120</f>
        <v>77095.200000000012</v>
      </c>
      <c r="F12" s="50">
        <f>Polos!H123</f>
        <v>29972.799999999999</v>
      </c>
      <c r="G12" s="50">
        <f>Polos!J123</f>
        <v>359673.59999999998</v>
      </c>
      <c r="H12" s="50">
        <f>Polos!H125</f>
        <v>4230</v>
      </c>
      <c r="I12" s="50">
        <f>Polos!J125</f>
        <v>50760</v>
      </c>
      <c r="J12" s="50">
        <f>Polos!H126</f>
        <v>1434.4</v>
      </c>
      <c r="K12" s="50">
        <f>Polos!J126</f>
        <v>17212.8</v>
      </c>
      <c r="L12" s="50">
        <f>Polos!H127</f>
        <v>1450</v>
      </c>
      <c r="M12" s="50">
        <f>Polos!J127</f>
        <v>17400</v>
      </c>
      <c r="N12" s="50">
        <f t="shared" si="0"/>
        <v>88423.199999999983</v>
      </c>
      <c r="O12" s="50">
        <f t="shared" si="1"/>
        <v>1061078.3999999999</v>
      </c>
    </row>
    <row r="13" spans="1:15" ht="20.100000000000001" customHeight="1" thickBot="1">
      <c r="A13" s="49" t="s">
        <v>11</v>
      </c>
      <c r="B13" s="50">
        <f>Polos!H139</f>
        <v>40696.949999999997</v>
      </c>
      <c r="C13" s="50">
        <f>Polos!I139</f>
        <v>6424.6</v>
      </c>
      <c r="D13" s="51">
        <f>Polos!J139</f>
        <v>488363.4</v>
      </c>
      <c r="E13" s="51">
        <f>Polos!K139</f>
        <v>77095.200000000012</v>
      </c>
      <c r="F13" s="50">
        <f>Polos!H142</f>
        <v>29972.799999999999</v>
      </c>
      <c r="G13" s="50">
        <f>Polos!J142</f>
        <v>359673.59999999998</v>
      </c>
      <c r="H13" s="50">
        <f>Polos!H144</f>
        <v>4230</v>
      </c>
      <c r="I13" s="50">
        <f>Polos!J144</f>
        <v>50760</v>
      </c>
      <c r="J13" s="50">
        <f>Polos!H145</f>
        <v>1434.4</v>
      </c>
      <c r="K13" s="50">
        <f>Polos!J145</f>
        <v>17212.8</v>
      </c>
      <c r="L13" s="50">
        <f>Polos!H146</f>
        <v>483.33</v>
      </c>
      <c r="M13" s="50">
        <f>Polos!J146</f>
        <v>5799.96</v>
      </c>
      <c r="N13" s="50">
        <f t="shared" si="0"/>
        <v>83242.079999999987</v>
      </c>
      <c r="O13" s="50">
        <f t="shared" si="1"/>
        <v>998904.96000000008</v>
      </c>
    </row>
    <row r="14" spans="1:15" ht="15.75" thickBot="1">
      <c r="A14" s="53" t="s">
        <v>7</v>
      </c>
      <c r="B14" s="54">
        <f t="shared" ref="B14:K14" si="2">SUM(B6:B13)</f>
        <v>509216.34000000014</v>
      </c>
      <c r="C14" s="54">
        <f t="shared" si="2"/>
        <v>54923.799999999996</v>
      </c>
      <c r="D14" s="54">
        <f t="shared" si="2"/>
        <v>6110596.0799999991</v>
      </c>
      <c r="E14" s="54">
        <f t="shared" si="2"/>
        <v>659085.60000000009</v>
      </c>
      <c r="F14" s="54">
        <f t="shared" si="2"/>
        <v>290505.59999999998</v>
      </c>
      <c r="G14" s="54">
        <f t="shared" si="2"/>
        <v>3486067.2000000007</v>
      </c>
      <c r="H14" s="54">
        <f t="shared" si="2"/>
        <v>29610</v>
      </c>
      <c r="I14" s="54">
        <f t="shared" si="2"/>
        <v>355320</v>
      </c>
      <c r="J14" s="54">
        <f t="shared" si="2"/>
        <v>10040.799999999999</v>
      </c>
      <c r="K14" s="54">
        <f t="shared" si="2"/>
        <v>120489.60000000001</v>
      </c>
      <c r="L14" s="54">
        <f t="shared" ref="L14:M14" si="3">SUM(L6:L13)</f>
        <v>16083.33</v>
      </c>
      <c r="M14" s="54">
        <f t="shared" si="3"/>
        <v>192999.96</v>
      </c>
      <c r="N14" s="54">
        <f>SUM(N6:N13)</f>
        <v>910379.86999999988</v>
      </c>
      <c r="O14" s="54">
        <f>SUM(O6:O13)</f>
        <v>10924558.440000001</v>
      </c>
    </row>
  </sheetData>
  <mergeCells count="20">
    <mergeCell ref="J4:J5"/>
    <mergeCell ref="K4:K5"/>
    <mergeCell ref="N4:N5"/>
    <mergeCell ref="O4:O5"/>
    <mergeCell ref="L3:M3"/>
    <mergeCell ref="L4:L5"/>
    <mergeCell ref="M4:M5"/>
    <mergeCell ref="B4:C4"/>
    <mergeCell ref="A2:O2"/>
    <mergeCell ref="A4:A5"/>
    <mergeCell ref="B3:E3"/>
    <mergeCell ref="F3:G3"/>
    <mergeCell ref="N3:O3"/>
    <mergeCell ref="D4:E4"/>
    <mergeCell ref="F4:F5"/>
    <mergeCell ref="G4:G5"/>
    <mergeCell ref="H3:I3"/>
    <mergeCell ref="H4:H5"/>
    <mergeCell ref="I4:I5"/>
    <mergeCell ref="J3:K3"/>
  </mergeCells>
  <phoneticPr fontId="0" type="noConversion"/>
  <pageMargins left="0.511811024" right="0.511811024" top="0.78740157499999996" bottom="0.78740157499999996" header="0.31496062000000002" footer="0.31496062000000002"/>
  <pageSetup paperSize="9" scale="4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L25"/>
  <sheetViews>
    <sheetView showGridLines="0" tabSelected="1" view="pageBreakPreview" zoomScale="85" zoomScaleNormal="100" zoomScalePageLayoutView="85" workbookViewId="0">
      <selection activeCell="M26" sqref="M26"/>
    </sheetView>
  </sheetViews>
  <sheetFormatPr defaultColWidth="9.140625" defaultRowHeight="12.75"/>
  <cols>
    <col min="1" max="1" width="5.7109375" style="58" customWidth="1"/>
    <col min="2" max="2" width="22.5703125" style="58" customWidth="1"/>
    <col min="3" max="5" width="14.85546875" style="58" customWidth="1"/>
    <col min="6" max="9" width="17.85546875" style="58" customWidth="1"/>
    <col min="10" max="10" width="15.5703125" style="58" bestFit="1" customWidth="1"/>
    <col min="11" max="11" width="16.42578125" style="58" customWidth="1"/>
    <col min="12" max="1026" width="9.140625" style="58"/>
    <col min="1027" max="16384" width="9.140625" style="73"/>
  </cols>
  <sheetData>
    <row r="1" spans="2:10" ht="7.5" customHeight="1" thickBot="1">
      <c r="B1" s="55"/>
      <c r="C1" s="56"/>
      <c r="D1" s="56"/>
      <c r="E1" s="56"/>
      <c r="F1" s="57"/>
      <c r="G1" s="57"/>
      <c r="H1" s="57"/>
      <c r="I1" s="57"/>
      <c r="J1" s="57"/>
    </row>
    <row r="2" spans="2:10" ht="7.5" customHeight="1" thickBot="1">
      <c r="B2" s="59"/>
      <c r="C2" s="60"/>
      <c r="D2" s="60"/>
      <c r="E2" s="60"/>
      <c r="F2" s="61"/>
      <c r="G2" s="61"/>
      <c r="H2" s="61"/>
      <c r="I2" s="61"/>
      <c r="J2" s="61"/>
    </row>
    <row r="3" spans="2:10" ht="13.5" thickBot="1">
      <c r="B3" s="173" t="s">
        <v>63</v>
      </c>
      <c r="C3" s="174"/>
      <c r="D3" s="174"/>
      <c r="E3" s="174"/>
      <c r="F3" s="174"/>
      <c r="G3" s="174"/>
      <c r="H3" s="174"/>
      <c r="I3" s="174"/>
      <c r="J3" s="175"/>
    </row>
    <row r="4" spans="2:10" ht="52.5" customHeight="1" thickBot="1">
      <c r="B4" s="74"/>
      <c r="C4" s="172" t="s">
        <v>58</v>
      </c>
      <c r="D4" s="172"/>
      <c r="E4" s="172"/>
      <c r="F4" s="75" t="s">
        <v>34</v>
      </c>
      <c r="G4" s="75" t="s">
        <v>16</v>
      </c>
      <c r="H4" s="75" t="s">
        <v>17</v>
      </c>
      <c r="I4" s="75" t="s">
        <v>57</v>
      </c>
      <c r="J4" s="76" t="s">
        <v>59</v>
      </c>
    </row>
    <row r="5" spans="2:10" ht="15.75" customHeight="1" thickBot="1">
      <c r="B5" s="172" t="s">
        <v>0</v>
      </c>
      <c r="C5" s="176" t="s">
        <v>5</v>
      </c>
      <c r="D5" s="176"/>
      <c r="E5" s="176"/>
      <c r="F5" s="172" t="s">
        <v>5</v>
      </c>
      <c r="G5" s="172" t="s">
        <v>5</v>
      </c>
      <c r="H5" s="172" t="s">
        <v>5</v>
      </c>
      <c r="I5" s="172" t="s">
        <v>5</v>
      </c>
      <c r="J5" s="172" t="s">
        <v>5</v>
      </c>
    </row>
    <row r="6" spans="2:10" ht="15.75" thickBot="1">
      <c r="B6" s="172"/>
      <c r="C6" s="76" t="s">
        <v>1</v>
      </c>
      <c r="D6" s="77" t="s">
        <v>2</v>
      </c>
      <c r="E6" s="76" t="s">
        <v>7</v>
      </c>
      <c r="F6" s="172"/>
      <c r="G6" s="172"/>
      <c r="H6" s="172"/>
      <c r="I6" s="172"/>
      <c r="J6" s="172"/>
    </row>
    <row r="7" spans="2:10" s="58" customFormat="1" ht="20.100000000000001" customHeight="1" thickBot="1">
      <c r="B7" s="64" t="s">
        <v>60</v>
      </c>
      <c r="C7" s="65">
        <f>Resumo!B6</f>
        <v>212656.52000000002</v>
      </c>
      <c r="D7" s="66">
        <f>Resumo!C6</f>
        <v>9951.5999999999985</v>
      </c>
      <c r="E7" s="65">
        <f t="shared" ref="E7:E16" si="0">SUM(C7:D7)</f>
        <v>222608.12000000002</v>
      </c>
      <c r="F7" s="67">
        <f>Resumo!F6</f>
        <v>80696</v>
      </c>
      <c r="G7" s="67">
        <f>Resumo!H6</f>
        <v>0</v>
      </c>
      <c r="H7" s="67">
        <f>Resumo!J6</f>
        <v>0</v>
      </c>
      <c r="I7" s="67">
        <f>Resumo!L6</f>
        <v>12050</v>
      </c>
      <c r="J7" s="65">
        <f>E7+F7+G7+H7+I7</f>
        <v>315354.12</v>
      </c>
    </row>
    <row r="8" spans="2:10" s="58" customFormat="1" ht="20.100000000000001" customHeight="1" thickBot="1">
      <c r="B8" s="64" t="s">
        <v>61</v>
      </c>
      <c r="C8" s="65">
        <f>ROUND(0.9*C7,2)</f>
        <v>191390.87</v>
      </c>
      <c r="D8" s="66"/>
      <c r="E8" s="65">
        <f t="shared" si="0"/>
        <v>191390.87</v>
      </c>
      <c r="F8" s="65">
        <f>ROUND(0.4*F7,2)</f>
        <v>32278.400000000001</v>
      </c>
      <c r="G8" s="65">
        <f t="shared" ref="G8:I8" si="1">ROUND(0.4*G7,2)</f>
        <v>0</v>
      </c>
      <c r="H8" s="65">
        <f t="shared" si="1"/>
        <v>0</v>
      </c>
      <c r="I8" s="65"/>
      <c r="J8" s="65">
        <f t="shared" ref="J8:J16" si="2">E8+F8+G8+H8+I8</f>
        <v>223669.27</v>
      </c>
    </row>
    <row r="9" spans="2:10" s="58" customFormat="1" ht="20.100000000000001" customHeight="1" thickBot="1">
      <c r="B9" s="64" t="s">
        <v>62</v>
      </c>
      <c r="C9" s="65">
        <f>ROUND(0.1*C7,2)</f>
        <v>21265.65</v>
      </c>
      <c r="D9" s="66">
        <f>D7</f>
        <v>9951.5999999999985</v>
      </c>
      <c r="E9" s="65">
        <f t="shared" si="0"/>
        <v>31217.25</v>
      </c>
      <c r="F9" s="65">
        <f>ROUND(0.6*F7,2)</f>
        <v>48417.599999999999</v>
      </c>
      <c r="G9" s="65">
        <f t="shared" ref="G9:I9" si="3">ROUND(0.6*G7,2)</f>
        <v>0</v>
      </c>
      <c r="H9" s="65">
        <f t="shared" si="3"/>
        <v>0</v>
      </c>
      <c r="I9" s="65">
        <f>I7</f>
        <v>12050</v>
      </c>
      <c r="J9" s="65">
        <f t="shared" si="2"/>
        <v>91684.85</v>
      </c>
    </row>
    <row r="10" spans="2:10" s="58" customFormat="1" ht="20.100000000000001" customHeight="1" thickBot="1">
      <c r="B10" s="81" t="s">
        <v>18</v>
      </c>
      <c r="C10" s="65">
        <f>Resumo!B7</f>
        <v>40696.949999999997</v>
      </c>
      <c r="D10" s="66">
        <f>Resumo!C7</f>
        <v>6424.6</v>
      </c>
      <c r="E10" s="65">
        <f t="shared" si="0"/>
        <v>47121.549999999996</v>
      </c>
      <c r="F10" s="65">
        <f>Resumo!F7</f>
        <v>29972.799999999999</v>
      </c>
      <c r="G10" s="65">
        <f>Resumo!H7</f>
        <v>4230</v>
      </c>
      <c r="H10" s="65">
        <f>Resumo!J7</f>
        <v>1434.4</v>
      </c>
      <c r="I10" s="65">
        <f>Resumo!L7</f>
        <v>0</v>
      </c>
      <c r="J10" s="65">
        <f t="shared" si="2"/>
        <v>82758.749999999985</v>
      </c>
    </row>
    <row r="11" spans="2:10" s="58" customFormat="1" ht="20.100000000000001" customHeight="1" thickBot="1">
      <c r="B11" s="81" t="s">
        <v>19</v>
      </c>
      <c r="C11" s="65">
        <f>Resumo!B8</f>
        <v>43949.22</v>
      </c>
      <c r="D11" s="66">
        <f>Resumo!C8</f>
        <v>6424.6</v>
      </c>
      <c r="E11" s="65">
        <f t="shared" si="0"/>
        <v>50373.82</v>
      </c>
      <c r="F11" s="65">
        <f>Resumo!F8</f>
        <v>29972.799999999999</v>
      </c>
      <c r="G11" s="65">
        <f>Resumo!H8</f>
        <v>4230</v>
      </c>
      <c r="H11" s="65">
        <f>Resumo!J8</f>
        <v>1434.4</v>
      </c>
      <c r="I11" s="65">
        <f>Resumo!L8</f>
        <v>650</v>
      </c>
      <c r="J11" s="65">
        <f t="shared" si="2"/>
        <v>86661.01999999999</v>
      </c>
    </row>
    <row r="12" spans="2:10" s="58" customFormat="1" ht="20.100000000000001" customHeight="1" thickBot="1">
      <c r="B12" s="81" t="s">
        <v>55</v>
      </c>
      <c r="C12" s="65">
        <f>Resumo!B9</f>
        <v>40696.949999999997</v>
      </c>
      <c r="D12" s="66">
        <f>Resumo!C9</f>
        <v>6424.6</v>
      </c>
      <c r="E12" s="65">
        <f t="shared" si="0"/>
        <v>47121.549999999996</v>
      </c>
      <c r="F12" s="65">
        <f>Resumo!F9</f>
        <v>29972.799999999999</v>
      </c>
      <c r="G12" s="65">
        <f>Resumo!H9</f>
        <v>4230</v>
      </c>
      <c r="H12" s="65">
        <f>Resumo!J9</f>
        <v>1434.4</v>
      </c>
      <c r="I12" s="65">
        <f>Resumo!L9</f>
        <v>0</v>
      </c>
      <c r="J12" s="65">
        <f t="shared" si="2"/>
        <v>82758.749999999985</v>
      </c>
    </row>
    <row r="13" spans="2:10" s="58" customFormat="1" ht="20.100000000000001" customHeight="1" thickBot="1">
      <c r="B13" s="82" t="s">
        <v>9</v>
      </c>
      <c r="C13" s="65">
        <f>Resumo!B10</f>
        <v>40696.949999999997</v>
      </c>
      <c r="D13" s="66">
        <f>Resumo!C10</f>
        <v>6424.6</v>
      </c>
      <c r="E13" s="65">
        <f t="shared" si="0"/>
        <v>47121.549999999996</v>
      </c>
      <c r="F13" s="65">
        <f>Resumo!F10</f>
        <v>29972.799999999999</v>
      </c>
      <c r="G13" s="65">
        <f>Resumo!H10</f>
        <v>4230</v>
      </c>
      <c r="H13" s="65">
        <f>Resumo!J10</f>
        <v>1434.4</v>
      </c>
      <c r="I13" s="65">
        <f>Resumo!L10</f>
        <v>0</v>
      </c>
      <c r="J13" s="65">
        <f t="shared" si="2"/>
        <v>82758.749999999985</v>
      </c>
    </row>
    <row r="14" spans="2:10" s="58" customFormat="1" ht="20.100000000000001" customHeight="1" thickBot="1">
      <c r="B14" s="81" t="s">
        <v>20</v>
      </c>
      <c r="C14" s="65">
        <f>Resumo!B11</f>
        <v>44911.399999999994</v>
      </c>
      <c r="D14" s="66">
        <f>Resumo!C11</f>
        <v>6424.6</v>
      </c>
      <c r="E14" s="65">
        <f t="shared" si="0"/>
        <v>51335.999999999993</v>
      </c>
      <c r="F14" s="65">
        <f>Resumo!F11</f>
        <v>29972.799999999999</v>
      </c>
      <c r="G14" s="65">
        <f>Resumo!H11</f>
        <v>4230</v>
      </c>
      <c r="H14" s="65">
        <f>Resumo!J11</f>
        <v>1434.4</v>
      </c>
      <c r="I14" s="65">
        <f>Resumo!L11</f>
        <v>1450</v>
      </c>
      <c r="J14" s="65">
        <f t="shared" si="2"/>
        <v>88423.199999999983</v>
      </c>
    </row>
    <row r="15" spans="2:10" s="58" customFormat="1" ht="20.100000000000001" customHeight="1" thickBot="1">
      <c r="B15" s="82" t="s">
        <v>10</v>
      </c>
      <c r="C15" s="65">
        <f>Resumo!B12</f>
        <v>44911.399999999994</v>
      </c>
      <c r="D15" s="66">
        <f>Resumo!C12</f>
        <v>6424.6</v>
      </c>
      <c r="E15" s="65">
        <f t="shared" si="0"/>
        <v>51335.999999999993</v>
      </c>
      <c r="F15" s="65">
        <f>Resumo!F12</f>
        <v>29972.799999999999</v>
      </c>
      <c r="G15" s="65">
        <f>Resumo!H12</f>
        <v>4230</v>
      </c>
      <c r="H15" s="65">
        <f>Resumo!J12</f>
        <v>1434.4</v>
      </c>
      <c r="I15" s="65">
        <f>Resumo!L12</f>
        <v>1450</v>
      </c>
      <c r="J15" s="65">
        <f t="shared" si="2"/>
        <v>88423.199999999983</v>
      </c>
    </row>
    <row r="16" spans="2:10" s="58" customFormat="1" ht="20.100000000000001" customHeight="1" thickBot="1">
      <c r="B16" s="82" t="s">
        <v>11</v>
      </c>
      <c r="C16" s="65">
        <f>Resumo!B13</f>
        <v>40696.949999999997</v>
      </c>
      <c r="D16" s="66">
        <f>Resumo!C13</f>
        <v>6424.6</v>
      </c>
      <c r="E16" s="68">
        <f t="shared" si="0"/>
        <v>47121.549999999996</v>
      </c>
      <c r="F16" s="65">
        <f>Resumo!F13</f>
        <v>29972.799999999999</v>
      </c>
      <c r="G16" s="65">
        <f>Resumo!H13</f>
        <v>4230</v>
      </c>
      <c r="H16" s="65">
        <f>Resumo!J13</f>
        <v>1434.4</v>
      </c>
      <c r="I16" s="65">
        <f>Resumo!L13</f>
        <v>483.33</v>
      </c>
      <c r="J16" s="65">
        <f t="shared" si="2"/>
        <v>83242.079999999987</v>
      </c>
    </row>
    <row r="17" spans="2:10" s="58" customFormat="1" ht="20.100000000000001" customHeight="1" thickBot="1">
      <c r="B17" s="78" t="s">
        <v>64</v>
      </c>
      <c r="C17" s="86">
        <f>C8+C10+C11+C12+C13+C14+C15+C16</f>
        <v>487950.69000000012</v>
      </c>
      <c r="D17" s="86">
        <f>D8+D10+D11+D12+D13+D14+D15+D16</f>
        <v>44972.2</v>
      </c>
      <c r="E17" s="79">
        <f>E8+E10+E11+E12+E13+E14+E15+E16</f>
        <v>532922.89</v>
      </c>
      <c r="F17" s="79">
        <f t="shared" ref="F17:I17" si="4">F8+F10+F11+F12+F13+F14+F15+F16</f>
        <v>242087.99999999997</v>
      </c>
      <c r="G17" s="79">
        <f t="shared" si="4"/>
        <v>29610</v>
      </c>
      <c r="H17" s="79">
        <f t="shared" si="4"/>
        <v>10040.799999999999</v>
      </c>
      <c r="I17" s="79">
        <f t="shared" si="4"/>
        <v>4033.33</v>
      </c>
      <c r="J17" s="80">
        <f>E17+F17+G17+H17+I17</f>
        <v>818695.02</v>
      </c>
    </row>
    <row r="18" spans="2:10" s="58" customFormat="1" ht="20.100000000000001" customHeight="1" thickBot="1">
      <c r="B18" s="78" t="s">
        <v>65</v>
      </c>
      <c r="C18" s="87">
        <f>C9</f>
        <v>21265.65</v>
      </c>
      <c r="D18" s="87">
        <f>D9</f>
        <v>9951.5999999999985</v>
      </c>
      <c r="E18" s="80">
        <f>E9</f>
        <v>31217.25</v>
      </c>
      <c r="F18" s="80">
        <f t="shared" ref="F18:I18" si="5">F9</f>
        <v>48417.599999999999</v>
      </c>
      <c r="G18" s="80">
        <f t="shared" si="5"/>
        <v>0</v>
      </c>
      <c r="H18" s="80">
        <f t="shared" si="5"/>
        <v>0</v>
      </c>
      <c r="I18" s="80">
        <f t="shared" si="5"/>
        <v>12050</v>
      </c>
      <c r="J18" s="80">
        <f>E18+F18+G18+H18+I18</f>
        <v>91684.85</v>
      </c>
    </row>
    <row r="19" spans="2:10" s="58" customFormat="1" ht="15.75" thickBot="1">
      <c r="B19" s="62" t="s">
        <v>66</v>
      </c>
      <c r="C19" s="88">
        <f t="shared" ref="C19:J19" si="6">SUM(C8:C16)</f>
        <v>509216.34</v>
      </c>
      <c r="D19" s="88">
        <f t="shared" si="6"/>
        <v>54923.799999999996</v>
      </c>
      <c r="E19" s="88">
        <f t="shared" si="6"/>
        <v>564140.14</v>
      </c>
      <c r="F19" s="88">
        <f t="shared" si="6"/>
        <v>290505.59999999998</v>
      </c>
      <c r="G19" s="88">
        <f t="shared" si="6"/>
        <v>29610</v>
      </c>
      <c r="H19" s="88">
        <f t="shared" si="6"/>
        <v>10040.799999999999</v>
      </c>
      <c r="I19" s="88">
        <f t="shared" si="6"/>
        <v>16083.33</v>
      </c>
      <c r="J19" s="89">
        <f t="shared" si="6"/>
        <v>910379.86999999988</v>
      </c>
    </row>
    <row r="20" spans="2:10" s="58" customFormat="1" ht="7.5" customHeight="1" thickBot="1">
      <c r="B20" s="63"/>
      <c r="C20" s="69"/>
      <c r="D20" s="69"/>
      <c r="E20" s="69"/>
      <c r="F20" s="69"/>
      <c r="G20" s="69"/>
      <c r="H20" s="69"/>
      <c r="I20" s="69"/>
      <c r="J20" s="84"/>
    </row>
    <row r="21" spans="2:10" s="58" customFormat="1" ht="20.100000000000001" customHeight="1" thickBot="1">
      <c r="B21" s="78" t="s">
        <v>67</v>
      </c>
      <c r="C21" s="86">
        <f>ROUND(12*C17,2)</f>
        <v>5855408.2800000003</v>
      </c>
      <c r="D21" s="86">
        <f>ROUND(12*D17,2)</f>
        <v>539666.4</v>
      </c>
      <c r="E21" s="85">
        <f>C21+D21</f>
        <v>6395074.6800000006</v>
      </c>
      <c r="F21" s="79">
        <f>ROUND(12*F17,2)</f>
        <v>2905056</v>
      </c>
      <c r="G21" s="79">
        <f t="shared" ref="G21:I21" si="7">ROUND(12*G17,2)</f>
        <v>355320</v>
      </c>
      <c r="H21" s="79">
        <f t="shared" si="7"/>
        <v>120489.60000000001</v>
      </c>
      <c r="I21" s="79">
        <f t="shared" si="7"/>
        <v>48399.96</v>
      </c>
      <c r="J21" s="80">
        <f>E21+F21+G21+H21+I21</f>
        <v>9824340.2400000002</v>
      </c>
    </row>
    <row r="22" spans="2:10" s="58" customFormat="1" ht="20.100000000000001" customHeight="1" thickBot="1">
      <c r="B22" s="78" t="s">
        <v>68</v>
      </c>
      <c r="C22" s="86">
        <f>ROUND(12*C18,2)</f>
        <v>255187.8</v>
      </c>
      <c r="D22" s="86">
        <f>ROUND(12*D18,2)</f>
        <v>119419.2</v>
      </c>
      <c r="E22" s="85">
        <f>C22+D22</f>
        <v>374607</v>
      </c>
      <c r="F22" s="79">
        <f>ROUND(12*F18,2)</f>
        <v>581011.19999999995</v>
      </c>
      <c r="G22" s="79">
        <f t="shared" ref="G22:I22" si="8">ROUND(12*G18,2)</f>
        <v>0</v>
      </c>
      <c r="H22" s="79">
        <f t="shared" si="8"/>
        <v>0</v>
      </c>
      <c r="I22" s="79">
        <f t="shared" si="8"/>
        <v>144600</v>
      </c>
      <c r="J22" s="80">
        <f>E22+F22+G22+H22+I22</f>
        <v>1100218.2</v>
      </c>
    </row>
    <row r="23" spans="2:10" s="58" customFormat="1" ht="15.75" thickBot="1">
      <c r="B23" s="83" t="s">
        <v>69</v>
      </c>
      <c r="C23" s="89">
        <f>C21+C22</f>
        <v>6110596.0800000001</v>
      </c>
      <c r="D23" s="89">
        <f t="shared" ref="D23:I23" si="9">D21+D22</f>
        <v>659085.6</v>
      </c>
      <c r="E23" s="89">
        <f t="shared" si="9"/>
        <v>6769681.6800000006</v>
      </c>
      <c r="F23" s="89">
        <f t="shared" si="9"/>
        <v>3486067.2</v>
      </c>
      <c r="G23" s="89">
        <f t="shared" si="9"/>
        <v>355320</v>
      </c>
      <c r="H23" s="89">
        <f t="shared" si="9"/>
        <v>120489.60000000001</v>
      </c>
      <c r="I23" s="89">
        <f t="shared" si="9"/>
        <v>192999.96</v>
      </c>
      <c r="J23" s="89">
        <f>J21+J22</f>
        <v>10924558.439999999</v>
      </c>
    </row>
    <row r="24" spans="2:10" s="58" customFormat="1" ht="15">
      <c r="B24" s="70"/>
      <c r="C24" s="71"/>
      <c r="D24" s="71"/>
      <c r="E24" s="71"/>
      <c r="F24" s="71"/>
      <c r="G24" s="71"/>
      <c r="H24" s="71"/>
      <c r="I24" s="71"/>
      <c r="J24" s="71"/>
    </row>
    <row r="25" spans="2:10" s="58" customFormat="1">
      <c r="B25" s="72"/>
      <c r="C25" s="72"/>
      <c r="D25" s="72"/>
    </row>
  </sheetData>
  <mergeCells count="9">
    <mergeCell ref="G5:G6"/>
    <mergeCell ref="H5:H6"/>
    <mergeCell ref="I5:I6"/>
    <mergeCell ref="B3:J3"/>
    <mergeCell ref="C4:E4"/>
    <mergeCell ref="B5:B6"/>
    <mergeCell ref="C5:E5"/>
    <mergeCell ref="F5:F6"/>
    <mergeCell ref="J5:J6"/>
  </mergeCells>
  <printOptions horizontalCentered="1"/>
  <pageMargins left="0.51180555555555496" right="0.51180555555555496" top="1.4569444444444399" bottom="0.98402777777777795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Polos</vt:lpstr>
      <vt:lpstr>Resumo</vt:lpstr>
      <vt:lpstr>Graus</vt:lpstr>
      <vt:lpstr>Graus!Area_de_impressao</vt:lpstr>
      <vt:lpstr>Polos!Area_de_impressao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2019-02-20T14:32:24Z</cp:lastPrinted>
  <dcterms:created xsi:type="dcterms:W3CDTF">2012-05-31T13:53:51Z</dcterms:created>
  <dcterms:modified xsi:type="dcterms:W3CDTF">2022-01-25T15:08:57Z</dcterms:modified>
</cp:coreProperties>
</file>