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254.0.55\Precatorio\01. CONTADORIA\MARCELO\Comissão de Contratação\SERVIÇO DE VIGILANCIA\Planilha Vigilante 2022\"/>
    </mc:Choice>
  </mc:AlternateContent>
  <xr:revisionPtr revIDLastSave="0" documentId="13_ncr:1_{4B7297C0-DBF2-446C-9139-24DF42ED4ED7}" xr6:coauthVersionLast="47" xr6:coauthVersionMax="47" xr10:uidLastSave="{00000000-0000-0000-0000-000000000000}"/>
  <bookViews>
    <workbookView xWindow="21480" yWindow="-120" windowWidth="16440" windowHeight="28320" tabRatio="500" firstSheet="1" activeTab="1" xr2:uid="{00000000-000D-0000-FFFF-FFFF00000000}"/>
  </bookViews>
  <sheets>
    <sheet name="VIGILÃNCIA ARMADA DIURNA " sheetId="1" r:id="rId1"/>
    <sheet name="VIGILÃNCIA ARMADA NOTURNA" sheetId="2" r:id="rId2"/>
    <sheet name="Memoria de Cálculo" sheetId="3" r:id="rId3"/>
  </sheets>
  <definedNames>
    <definedName name="_xlnm.Print_Area" localSheetId="1">'VIGILÃNCIA ARMADA NOTURNA'!$A$1:$G$156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7" i="2" l="1"/>
  <c r="D55" i="2"/>
  <c r="D57" i="1"/>
  <c r="D55" i="1"/>
  <c r="C84" i="3" l="1"/>
  <c r="C80" i="3"/>
  <c r="C81" i="3"/>
  <c r="C82" i="3"/>
  <c r="C83" i="3"/>
  <c r="C79" i="3"/>
  <c r="D116" i="1" l="1"/>
  <c r="D116" i="2"/>
  <c r="D115" i="1"/>
  <c r="K48" i="3" l="1"/>
  <c r="K46" i="3"/>
  <c r="D114" i="1"/>
  <c r="D114" i="2"/>
  <c r="C98" i="3" l="1"/>
  <c r="C102" i="2" l="1"/>
  <c r="C99" i="3"/>
  <c r="C100" i="3" s="1"/>
  <c r="C104" i="2" l="1"/>
  <c r="C104" i="1"/>
  <c r="C103" i="2"/>
  <c r="D29" i="2" l="1"/>
  <c r="D28" i="2"/>
  <c r="C94" i="2" l="1"/>
  <c r="C91" i="2"/>
  <c r="C77" i="3"/>
  <c r="C78" i="3" s="1"/>
  <c r="C66" i="3"/>
  <c r="C64" i="3"/>
  <c r="C65" i="3" s="1"/>
  <c r="C56" i="3"/>
  <c r="C72" i="2" s="1"/>
  <c r="C54" i="3"/>
  <c r="C55" i="3" s="1"/>
  <c r="P48" i="3"/>
  <c r="P46" i="3"/>
  <c r="K44" i="3"/>
  <c r="C23" i="3"/>
  <c r="C24" i="3" s="1"/>
  <c r="C13" i="3"/>
  <c r="C6" i="3"/>
  <c r="D26" i="1" s="1"/>
  <c r="B141" i="2"/>
  <c r="B139" i="2"/>
  <c r="B138" i="2"/>
  <c r="B137" i="2"/>
  <c r="B136" i="2"/>
  <c r="B135" i="2"/>
  <c r="C129" i="2"/>
  <c r="C128" i="2"/>
  <c r="C127" i="2"/>
  <c r="C125" i="2"/>
  <c r="C124" i="2"/>
  <c r="D115" i="2"/>
  <c r="C96" i="2"/>
  <c r="C95" i="2"/>
  <c r="C93" i="2"/>
  <c r="C92" i="2"/>
  <c r="C78" i="2"/>
  <c r="C76" i="2"/>
  <c r="D58" i="2"/>
  <c r="D56" i="2"/>
  <c r="C49" i="2"/>
  <c r="C48" i="2"/>
  <c r="C47" i="2"/>
  <c r="C46" i="2"/>
  <c r="C45" i="2"/>
  <c r="C44" i="2"/>
  <c r="C43" i="2"/>
  <c r="C42" i="2"/>
  <c r="D19" i="2"/>
  <c r="D53" i="2" s="1"/>
  <c r="C2" i="2"/>
  <c r="B141" i="1"/>
  <c r="B139" i="1"/>
  <c r="B138" i="1"/>
  <c r="B137" i="1"/>
  <c r="B136" i="1"/>
  <c r="B135" i="1"/>
  <c r="C129" i="1"/>
  <c r="C128" i="1"/>
  <c r="C127" i="1"/>
  <c r="C125" i="1"/>
  <c r="C124" i="1"/>
  <c r="D118" i="1"/>
  <c r="D139" i="1" s="1"/>
  <c r="C103" i="1"/>
  <c r="C102" i="1"/>
  <c r="C96" i="1"/>
  <c r="C95" i="1"/>
  <c r="C93" i="1"/>
  <c r="C92" i="1"/>
  <c r="C91" i="1"/>
  <c r="C78" i="1"/>
  <c r="C76" i="1"/>
  <c r="C72" i="1"/>
  <c r="D58" i="1"/>
  <c r="D56" i="1"/>
  <c r="C49" i="1"/>
  <c r="C48" i="1"/>
  <c r="C47" i="1"/>
  <c r="C46" i="1"/>
  <c r="C45" i="1"/>
  <c r="C44" i="1"/>
  <c r="C43" i="1"/>
  <c r="C42" i="1"/>
  <c r="D19" i="1"/>
  <c r="D53" i="1" s="1"/>
  <c r="C2" i="1"/>
  <c r="D26" i="2" l="1"/>
  <c r="E6" i="3"/>
  <c r="C70" i="1"/>
  <c r="C89" i="1"/>
  <c r="C94" i="1"/>
  <c r="C70" i="2"/>
  <c r="D118" i="2"/>
  <c r="D139" i="2" s="1"/>
  <c r="C77" i="2"/>
  <c r="C79" i="2" s="1"/>
  <c r="C77" i="1"/>
  <c r="C79" i="1" s="1"/>
  <c r="C85" i="3"/>
  <c r="C35" i="1"/>
  <c r="C35" i="2"/>
  <c r="C89" i="2"/>
  <c r="C130" i="2"/>
  <c r="D25" i="1"/>
  <c r="D31" i="1" s="1"/>
  <c r="D102" i="1" s="1"/>
  <c r="D59" i="1"/>
  <c r="D65" i="1" s="1"/>
  <c r="C130" i="1"/>
  <c r="D59" i="2"/>
  <c r="D65" i="2" s="1"/>
  <c r="C50" i="2"/>
  <c r="C50" i="1"/>
  <c r="D25" i="2"/>
  <c r="D31" i="2" s="1"/>
  <c r="C36" i="2"/>
  <c r="C25" i="3"/>
  <c r="C26" i="3" s="1"/>
  <c r="C36" i="1"/>
  <c r="C90" i="2"/>
  <c r="C90" i="1"/>
  <c r="C71" i="2"/>
  <c r="C71" i="1"/>
  <c r="F7" i="3" l="1"/>
  <c r="F6" i="3"/>
  <c r="C97" i="1"/>
  <c r="C86" i="3"/>
  <c r="C97" i="2"/>
  <c r="C98" i="2" s="1"/>
  <c r="D103" i="1"/>
  <c r="D104" i="1" s="1"/>
  <c r="D109" i="1" s="1"/>
  <c r="D94" i="2"/>
  <c r="D102" i="2"/>
  <c r="D103" i="2" s="1"/>
  <c r="D104" i="2" s="1"/>
  <c r="D109" i="2" s="1"/>
  <c r="D91" i="2"/>
  <c r="D70" i="2"/>
  <c r="D45" i="2"/>
  <c r="D71" i="2"/>
  <c r="D77" i="2"/>
  <c r="D49" i="1"/>
  <c r="D77" i="1"/>
  <c r="D44" i="1"/>
  <c r="D72" i="1"/>
  <c r="D95" i="1"/>
  <c r="D135" i="1"/>
  <c r="D42" i="1"/>
  <c r="D91" i="1"/>
  <c r="D94" i="1"/>
  <c r="D78" i="1"/>
  <c r="D48" i="1"/>
  <c r="D45" i="1"/>
  <c r="D92" i="1"/>
  <c r="D70" i="1"/>
  <c r="D47" i="1"/>
  <c r="D90" i="1"/>
  <c r="D96" i="1"/>
  <c r="D43" i="1"/>
  <c r="D35" i="1"/>
  <c r="D76" i="1"/>
  <c r="D46" i="1"/>
  <c r="D89" i="1"/>
  <c r="D71" i="1"/>
  <c r="D44" i="2"/>
  <c r="D72" i="2"/>
  <c r="D93" i="1"/>
  <c r="D47" i="2"/>
  <c r="D46" i="2"/>
  <c r="D35" i="2"/>
  <c r="D49" i="2"/>
  <c r="D95" i="2"/>
  <c r="D48" i="2"/>
  <c r="D78" i="2"/>
  <c r="D135" i="2"/>
  <c r="D93" i="2"/>
  <c r="D96" i="2"/>
  <c r="D76" i="2"/>
  <c r="D43" i="2"/>
  <c r="D89" i="2"/>
  <c r="D42" i="2"/>
  <c r="D92" i="2"/>
  <c r="D90" i="2"/>
  <c r="D36" i="2"/>
  <c r="C37" i="2"/>
  <c r="C38" i="2" s="1"/>
  <c r="C39" i="2" s="1"/>
  <c r="C98" i="1"/>
  <c r="C73" i="1"/>
  <c r="C37" i="1"/>
  <c r="C38" i="1" s="1"/>
  <c r="C39" i="1" s="1"/>
  <c r="D36" i="1"/>
  <c r="C73" i="2"/>
  <c r="D50" i="1" l="1"/>
  <c r="D64" i="1" s="1"/>
  <c r="D37" i="2"/>
  <c r="D38" i="2" s="1"/>
  <c r="D39" i="2" s="1"/>
  <c r="D63" i="2" s="1"/>
  <c r="D79" i="1"/>
  <c r="D84" i="1" s="1"/>
  <c r="D37" i="1"/>
  <c r="D38" i="1" s="1"/>
  <c r="D39" i="1" s="1"/>
  <c r="D63" i="1" s="1"/>
  <c r="D73" i="2"/>
  <c r="D83" i="2" s="1"/>
  <c r="D73" i="1"/>
  <c r="D83" i="1" s="1"/>
  <c r="D79" i="2"/>
  <c r="D50" i="2"/>
  <c r="D64" i="2" s="1"/>
  <c r="D97" i="2"/>
  <c r="D98" i="2" s="1"/>
  <c r="D108" i="2" s="1"/>
  <c r="D110" i="2" s="1"/>
  <c r="D138" i="2" s="1"/>
  <c r="D97" i="1"/>
  <c r="D98" i="1" s="1"/>
  <c r="D108" i="1" s="1"/>
  <c r="D110" i="1" s="1"/>
  <c r="D138" i="1" s="1"/>
  <c r="D66" i="1" l="1"/>
  <c r="D136" i="1" s="1"/>
  <c r="D85" i="1"/>
  <c r="D137" i="1" s="1"/>
  <c r="D66" i="2"/>
  <c r="D136" i="2" s="1"/>
  <c r="D84" i="2"/>
  <c r="D85" i="2" s="1"/>
  <c r="D137" i="2" s="1"/>
  <c r="D140" i="1"/>
  <c r="D140" i="2" l="1"/>
  <c r="D120" i="1"/>
  <c r="D124" i="1" s="1"/>
  <c r="D125" i="1" s="1"/>
  <c r="D129" i="1" s="1"/>
  <c r="D120" i="2"/>
  <c r="D124" i="2" s="1"/>
  <c r="D125" i="2" s="1"/>
  <c r="D128" i="2" s="1"/>
  <c r="D128" i="1" l="1"/>
  <c r="D127" i="1"/>
  <c r="D127" i="2"/>
  <c r="D129" i="2"/>
  <c r="D130" i="1" l="1"/>
  <c r="D141" i="1" s="1"/>
  <c r="D142" i="1" s="1"/>
  <c r="C147" i="1" s="1"/>
  <c r="E147" i="1" s="1"/>
  <c r="C153" i="1" s="1"/>
  <c r="D130" i="2"/>
  <c r="D141" i="2" s="1"/>
  <c r="D142" i="2" s="1"/>
  <c r="C146" i="2" s="1"/>
  <c r="E146" i="2" s="1"/>
  <c r="C152" i="2" s="1"/>
  <c r="G147" i="1" l="1"/>
  <c r="C154" i="1" s="1"/>
  <c r="C155" i="1" s="1"/>
  <c r="G146" i="2"/>
  <c r="C153" i="2" s="1"/>
  <c r="C154" i="2" s="1"/>
  <c r="G148" i="1" l="1"/>
  <c r="G1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05" authorId="0" shapeId="0" xr:uid="{00000000-0006-0000-0200-000001000000}">
      <text>
        <r>
          <rPr>
            <b/>
            <sz val="12"/>
            <color rgb="FF000000"/>
            <rFont val="Tahoma"/>
            <family val="2"/>
            <charset val="1"/>
          </rPr>
          <t>Contrato de Aux Gestão</t>
        </r>
      </text>
    </comment>
    <comment ref="G105" authorId="0" shapeId="0" xr:uid="{00000000-0006-0000-0200-000002000000}">
      <text>
        <r>
          <rPr>
            <b/>
            <sz val="12"/>
            <color rgb="FF000000"/>
            <rFont val="Tahoma"/>
            <family val="2"/>
            <charset val="1"/>
          </rPr>
          <t>Contrato de Motoboy</t>
        </r>
      </text>
    </comment>
    <comment ref="H105" authorId="0" shapeId="0" xr:uid="{00000000-0006-0000-0200-000003000000}">
      <text>
        <r>
          <rPr>
            <b/>
            <sz val="12"/>
            <color rgb="FF000000"/>
            <rFont val="Tahoma"/>
            <family val="2"/>
            <charset val="1"/>
          </rPr>
          <t>Contrato de Motoristas - Adesão</t>
        </r>
      </text>
    </comment>
  </commentList>
</comments>
</file>

<file path=xl/sharedStrings.xml><?xml version="1.0" encoding="utf-8"?>
<sst xmlns="http://schemas.openxmlformats.org/spreadsheetml/2006/main" count="694" uniqueCount="305">
  <si>
    <t xml:space="preserve">Categoria profissional: </t>
  </si>
  <si>
    <t>Discriminação dos Serviços</t>
  </si>
  <si>
    <t>A</t>
  </si>
  <si>
    <t>Data de apresentação da proposta</t>
  </si>
  <si>
    <t>B</t>
  </si>
  <si>
    <t>Município</t>
  </si>
  <si>
    <t>TERESINA</t>
  </si>
  <si>
    <t>C</t>
  </si>
  <si>
    <t>Ano do Acordo, Convenção ou Dissídio Coletivo</t>
  </si>
  <si>
    <t>D</t>
  </si>
  <si>
    <t>Nº de meses de execução contratual</t>
  </si>
  <si>
    <t>Identificação do Serviço</t>
  </si>
  <si>
    <t>Unidade de Medida:</t>
  </si>
  <si>
    <t>Quantidade total a contratar (em função da unidade de medida):</t>
  </si>
  <si>
    <t>Dados para composição dos custos referentes à mão-de-obra</t>
  </si>
  <si>
    <t>Tipo de serviço (mesmo serviço com características distintas)</t>
  </si>
  <si>
    <t>Vigilância</t>
  </si>
  <si>
    <t>Classificação Brasileira de Ocupações (CBO)</t>
  </si>
  <si>
    <t>5173-30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</si>
  <si>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</si>
  <si>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</si>
  <si>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</si>
  <si>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</si>
  <si>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</si>
  <si>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</si>
  <si>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</si>
  <si>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</si>
  <si>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</si>
  <si>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</si>
  <si>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</si>
  <si>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</si>
  <si>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</si>
  <si>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</si>
  <si>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</si>
  <si>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</si>
  <si>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</si>
  <si>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</si>
  <si>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</si>
  <si>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1"/>
        <rFont val="Arial"/>
        <family val="2"/>
        <charset val="1"/>
      </rPr>
      <t>13 (Décimo-terceiro) salário</t>
    </r>
    <r>
      <rPr>
        <sz val="11"/>
        <color rgb="FFFF0000"/>
        <rFont val="Arial"/>
        <family val="2"/>
        <charset val="1"/>
      </rPr>
      <t xml:space="preserve"> </t>
    </r>
  </si>
  <si>
    <t>TOTAL A + B</t>
  </si>
  <si>
    <t>Incidência do Submódulo 2.2 sobre o TOTAL A + B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</si>
  <si>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</si>
  <si>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</si>
  <si>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</si>
  <si>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</si>
  <si>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</si>
  <si>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</si>
  <si>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</si>
  <si>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</si>
  <si>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</si>
  <si>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</si>
  <si>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</si>
  <si>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</si>
  <si>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</si>
  <si>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Transporte - Valor da Passagem R$4,00</t>
  </si>
  <si>
    <t>Auxílio creche</t>
  </si>
  <si>
    <t>Seguro de vida, invalidez e funeral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</si>
  <si>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</si>
  <si>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</si>
  <si>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</si>
  <si>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</si>
  <si>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</si>
  <si>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</si>
  <si>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</si>
  <si>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</si>
  <si>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</si>
  <si>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</si>
  <si>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</si>
  <si>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Submódulo 3.1 - Aviso Prévio Indenizado.</t>
  </si>
  <si>
    <t>Aviso Prévio Indenizado</t>
  </si>
  <si>
    <t>Incidência do FGTS sobre Aviso Prévio Indenizado</t>
  </si>
  <si>
    <t>Multa do FGTS e Contribuição Social sobre o Aviso Prévio Indenizado</t>
  </si>
  <si>
    <t>TOTAL SUBMÓDULO 3.1</t>
  </si>
  <si>
    <t>Submódulo 3.2 - Aviso Prévio Trabalhado</t>
  </si>
  <si>
    <t xml:space="preserve">Aviso Prévio Trabalhado </t>
  </si>
  <si>
    <t>Incidência dos encargos do submódulo 2.2 sobre Aviso Prévio Trabalhado</t>
  </si>
  <si>
    <t xml:space="preserve">Multa do FGTS e Contribuição Social sobre o Aviso Prévio Trabalhado. </t>
  </si>
  <si>
    <t>TOTAL SUBMÓDULO 3.2</t>
  </si>
  <si>
    <t>QUADRO-RESUMO DO MÓDULO 3 -  PROVISÃO PARA RESCISÃO</t>
  </si>
  <si>
    <t>MÓDULO 3 -  PROVISÃO PARA RESCISÃO</t>
  </si>
  <si>
    <t>3.1</t>
  </si>
  <si>
    <t>Aviso Prévio Indenizado.</t>
  </si>
  <si>
    <t>3.2</t>
  </si>
  <si>
    <t>Aviso Prévio Trabalhado</t>
  </si>
  <si>
    <t>TOTAL DO MÓDULO 3</t>
  </si>
  <si>
    <t>MÓDULO 4 – CUSTO DE REPOSIÇÃO DO PROFISSIONAL AUSENTE</t>
  </si>
  <si>
    <t>Submódulo 4.1 - Ausências Legais</t>
  </si>
  <si>
    <t xml:space="preserve">Substituto nas Férias </t>
  </si>
  <si>
    <t>Incidência do Submódulo 2.2 sobre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</si>
  <si>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</si>
  <si>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</si>
  <si>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</si>
  <si>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</si>
  <si>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</si>
  <si>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</si>
  <si>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</t>
  </si>
  <si>
    <t>Incidência do Submódulo 2.2 sobre os itens C, D, E, F, G, H do submódulo 4.1</t>
  </si>
  <si>
    <t>TOTAL SUBMÓDULO 4.2</t>
  </si>
  <si>
    <t>Submódulo 4.2 - Intrajornada</t>
  </si>
  <si>
    <t>Intervalo para Repouso ou Alimentação</t>
  </si>
  <si>
    <t>Incidência do Submódulo 2.2 sobre Intervalo para Repouso ou Alimentação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</si>
  <si>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</si>
  <si>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</si>
  <si>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</si>
  <si>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</si>
  <si>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</si>
  <si>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</si>
  <si>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</si>
  <si>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</si>
  <si>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</si>
  <si>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</si>
  <si>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</t>
  </si>
  <si>
    <t>TOTAL DO MÓDULO 5</t>
  </si>
  <si>
    <t>SOMA DOS MÓDULOS 1, 2, 3, 4, 5</t>
  </si>
  <si>
    <t>MÓDULO 6 – CUSTOS INDIRETOS, TRIBUTOS E LUCRO</t>
  </si>
  <si>
    <t>CUSTOS INDIRETOS, TRIBUTOS E LUCRO</t>
  </si>
  <si>
    <t>Custos Indiretos</t>
  </si>
  <si>
    <t>Lucro</t>
  </si>
  <si>
    <t>TRIBUTOS</t>
  </si>
  <si>
    <t>C.2  Tributos estaduais (especificar)</t>
  </si>
  <si>
    <t>C.3  Tributos municipais  : ISSQN=5,00%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</si>
  <si>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</si>
  <si>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</si>
  <si>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</si>
  <si>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</si>
  <si>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</si>
  <si>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</si>
  <si>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Quadro-Resumo do valor mensal dos serviços</t>
  </si>
  <si>
    <t> Tipo de serviço (A)</t>
  </si>
  <si>
    <t>Valor proposto por empregado
(B)</t>
  </si>
  <si>
    <t>Qtde. de empregados por posto
 (C)</t>
  </si>
  <si>
    <t>Valor proposto por posto
 (D) = (B x C)</t>
  </si>
  <si>
    <t>Qtde. de postos
(E)</t>
  </si>
  <si>
    <t>Valor total do serviço
(F) = (D x E)</t>
  </si>
  <si>
    <t>ENCARREGADO</t>
  </si>
  <si>
    <t>VALOR MENSAL DOS SERVIÇOS</t>
  </si>
  <si>
    <t>QUADRO DEMONSTRATIVO - VALOR GLOBAL DA PROPOSTA</t>
  </si>
  <si>
    <t>VALOR GLOBAL DA PROPOSTA</t>
  </si>
  <si>
    <t>Descrição</t>
  </si>
  <si>
    <t>Valor (R$)</t>
  </si>
  <si>
    <t>Valor proposto por unidade de medida</t>
  </si>
  <si>
    <t>Valor mensal do serviço</t>
  </si>
  <si>
    <t>Valor Global da Proposta (Valor mensal do serviço multiplicado por 12 meses do contrato)</t>
  </si>
  <si>
    <t>PI000002/2022</t>
  </si>
  <si>
    <t xml:space="preserve">Quantidade total a contratar (em função da unidade de medida): </t>
  </si>
  <si>
    <t>Transporte - Valor da Passagem R$4,00.</t>
  </si>
  <si>
    <t>Auxílio alimentação (vales, cesta básica, entre outros)</t>
  </si>
  <si>
    <t>TOTAL SUBMÓDULO 4.1</t>
  </si>
  <si>
    <t>Módulo 1: Composição da remuneração Salário Base</t>
  </si>
  <si>
    <t>Estado: Piauí</t>
  </si>
  <si>
    <t>Módulo 1: Composição da remuneração</t>
  </si>
  <si>
    <t>Salário base</t>
  </si>
  <si>
    <t xml:space="preserve">Adicional de periculosidade </t>
  </si>
  <si>
    <t>VIGILÂNCIA ARMADA NOTURNA 12x36</t>
  </si>
  <si>
    <t>Módulo 2: Benefícios mensais e diários</t>
  </si>
  <si>
    <t>Submódulo 2.1 : 13º (décimo terceiro) salário e adicional de férias</t>
  </si>
  <si>
    <t>Item</t>
  </si>
  <si>
    <t>Memória de cálculo</t>
  </si>
  <si>
    <t>Fundamento</t>
  </si>
  <si>
    <t>13º Salário</t>
  </si>
  <si>
    <t>[(1/12)x100]</t>
  </si>
  <si>
    <t xml:space="preserve"> Art. 7º, inciso VIII da  Constituição Federal e Parágrafo único , Art. 1º Dec. 57155/65</t>
  </si>
  <si>
    <t>Adicional de Férias</t>
  </si>
  <si>
    <t>[(1/12)/3x100]</t>
  </si>
  <si>
    <t>Só provisiona o adicional - Art. 7º, inciso XVII da Constituição Federal</t>
  </si>
  <si>
    <t>Total submódulo 2.1</t>
  </si>
  <si>
    <t>Incidência do Submódulo 2.2 sobre o Total do Submódulo 2.1</t>
  </si>
  <si>
    <t xml:space="preserve">Submódulo 2.2 : Encargos Previdenciários (GPS), Fundo de Garantia por Tempo
de Serviço (FGTS) e outras contribuições.
</t>
  </si>
  <si>
    <t>Memória de Cálculo</t>
  </si>
  <si>
    <t>INSS</t>
  </si>
  <si>
    <t>-</t>
  </si>
  <si>
    <t>Art. 22, Inciso I, da Lei nº 8.212/91.</t>
  </si>
  <si>
    <t>Salário Educação</t>
  </si>
  <si>
    <t>Art. 3º, Inciso I, Decreto n.º 87.043/82.</t>
  </si>
  <si>
    <t>Riscos Ambientais do Trabalho RAT X FAP:</t>
  </si>
  <si>
    <t>Art. 3º, Lei n.º 8.036/90.</t>
  </si>
  <si>
    <t>SENAI - SENAC</t>
  </si>
  <si>
    <t>Decreto n.º 2.318/86.</t>
  </si>
  <si>
    <t>SEBRAE</t>
  </si>
  <si>
    <t>Art. 8º, Lei n.º 8.029/90 e Lei n.º 8.154/90.</t>
  </si>
  <si>
    <t>INCRA</t>
  </si>
  <si>
    <t>Lei n.º 7.787/89 e DL n.º 1.146/70.</t>
  </si>
  <si>
    <t>FGTS</t>
  </si>
  <si>
    <t>Total dos Encargos do submódulo 2.2</t>
  </si>
  <si>
    <t>C – Riscos Ambientais do Trabalho RAT X FAP:
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</si>
  <si>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 xml:space="preserve">Observação: A licitante deve preencher o item "C" das planilhas de composição de custos e formação de preços com o valor de seu FAP, a ser comprovado no envio de sua proposta adequada ao lance vencedor, mediante apresentação da GFIP ou outro documento apto a fazê-lo.  </t>
  </si>
  <si>
    <t>PROPOSTAS DAS EMPRESAS</t>
  </si>
  <si>
    <t>Submódulo 2.3 : Encargos Sociais e trabalhistas</t>
  </si>
  <si>
    <t>MÉDIA</t>
  </si>
  <si>
    <t>Transporte</t>
  </si>
  <si>
    <t>(4,00 x 2 x 22) - (0,06 x Salário Base)</t>
  </si>
  <si>
    <t>Módulo 3: Provisão para rescisão</t>
  </si>
  <si>
    <t>Submódulo 3.1 – Aviso Prévio Indenizado.</t>
  </si>
  <si>
    <r>
      <rPr>
        <b/>
        <sz val="11"/>
        <color rgb="FF000000"/>
        <rFont val="Times New Roman"/>
        <family val="1"/>
        <charset val="1"/>
      </rPr>
      <t>Aviso Prévio Indenizado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</si>
  <si>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{[10% x(1/12)]x100} = 0,833%</t>
  </si>
  <si>
    <t>Art. 7º, XXI, CF/88, 477, 487 e 491 CLT</t>
  </si>
  <si>
    <t>0,08 x {[10%x(1/12)]x100}= 0,067%</t>
  </si>
  <si>
    <t>Súmula n.º 305 do TST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</si>
  <si>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Indenizado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</si>
  <si>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10% x [ 1 + (1/12)+(1/12) + (1/3x1/12)+1/12 ] x 100}</t>
  </si>
  <si>
    <t>Residual da Portaria TJ/PI Nº 1.795/2016</t>
  </si>
  <si>
    <t>Total do Submódulo 3.1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</si>
  <si>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 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1.795/2016.</t>
    </r>
  </si>
  <si>
    <r>
      <rPr>
        <vertAlign val="superscript"/>
        <sz val="11"/>
        <color rgb="FF000000"/>
        <rFont val="Times New Roman"/>
        <family val="1"/>
        <charset val="1"/>
      </rPr>
      <t xml:space="preserve">2 </t>
    </r>
    <r>
      <rPr>
        <sz val="11"/>
        <color rgb="FF000000"/>
        <rFont val="Times New Roman"/>
        <family val="1"/>
        <charset val="1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1.795/2016</t>
    </r>
  </si>
  <si>
    <t>Submódulo 3.2 – Aviso Prévio Trabalhado.</t>
  </si>
  <si>
    <r>
      <rPr>
        <b/>
        <sz val="11"/>
        <color rgb="FF000000"/>
        <rFont val="Times New Roman"/>
        <family val="1"/>
        <charset val="1"/>
      </rPr>
      <t>Aviso Prévio Trabalhado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</si>
  <si>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{[(7/30)/12]x100} = 1,944%</t>
  </si>
  <si>
    <t>Art. 7º, XXI, CF/88, 477, 487 e 491 CLT.</t>
  </si>
  <si>
    <t>{[(7/30)/12]x100}  x Total do submódulo 2.2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</si>
  <si>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Trabalhado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</si>
  <si>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0,9 x [1 + 1/12 + (1/12 + 1/3*1/12)] x 100}</t>
  </si>
  <si>
    <t>Portaria (Presidência) nº 2845/2019</t>
  </si>
  <si>
    <t>Total do Submódulo 3.2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</si>
  <si>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Redução de 7 dias ou de 2h por dia. Percentual relativo a contrato de 12 (doze) meses.</t>
    </r>
  </si>
  <si>
    <r>
      <rPr>
        <vertAlign val="superscript"/>
        <sz val="11"/>
        <color rgb="FF000000"/>
        <rFont val="Times New Roman"/>
        <family val="1"/>
        <charset val="1"/>
      </rPr>
      <t>2</t>
    </r>
    <r>
      <rPr>
        <sz val="11"/>
        <color rgb="FF000000"/>
        <rFont val="Times New Roman"/>
        <family val="1"/>
        <charset val="1"/>
      </rPr>
      <t xml:space="preserve"> Multa do FGTS sobre os funcionários  despedidos sem justa por aviso prévio trabalhado , sendo o percentual vinculado e imutável por força da  Portaria TJ/PI Nº 1.795/2016</t>
    </r>
  </si>
  <si>
    <t>Módulo 4:  Custo de reposição do profissional ausente</t>
  </si>
  <si>
    <t>Substituto das Férias</t>
  </si>
  <si>
    <t>Art. 129 da CLT</t>
  </si>
  <si>
    <r>
      <rPr>
        <b/>
        <sz val="11"/>
        <color rgb="FF000000"/>
        <rFont val="Times New Roman"/>
        <family val="1"/>
        <charset val="1"/>
      </rPr>
      <t>Ausência Justificada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</si>
  <si>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 xml:space="preserve">{[((1 x 1 )/30)/12]x100} </t>
  </si>
  <si>
    <t>Estudo FIA 2014/15.</t>
  </si>
  <si>
    <r>
      <rPr>
        <b/>
        <sz val="11"/>
        <color rgb="FF000000"/>
        <rFont val="Times New Roman"/>
        <family val="1"/>
        <charset val="1"/>
      </rPr>
      <t>Ausências Legais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</si>
  <si>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incisos I, II, IV,VIII,X, XI do art. 473 da CLT</t>
  </si>
  <si>
    <r>
      <rPr>
        <b/>
        <sz val="11"/>
        <color rgb="FF000000"/>
        <rFont val="Times New Roman"/>
        <family val="1"/>
        <charset val="1"/>
      </rPr>
      <t>Ausência por Doença</t>
    </r>
    <r>
      <rPr>
        <b/>
        <vertAlign val="superscript"/>
        <sz val="11"/>
        <color rgb="FF000000"/>
        <rFont val="Times New Roman"/>
        <family val="1"/>
        <charset val="1"/>
      </rPr>
      <t>3</t>
    </r>
  </si>
  <si>
    <t>Art. 59 a 64 da Lei n.º 8.213/91.</t>
  </si>
  <si>
    <r>
      <rPr>
        <b/>
        <sz val="11"/>
        <color rgb="FF000000"/>
        <rFont val="Times New Roman"/>
        <family val="1"/>
        <charset val="1"/>
      </rPr>
      <t>Licença Paternidade</t>
    </r>
    <r>
      <rPr>
        <b/>
        <vertAlign val="superscript"/>
        <sz val="11"/>
        <color rgb="FF000000"/>
        <rFont val="Times New Roman"/>
        <family val="1"/>
        <charset val="1"/>
      </rPr>
      <t>4</t>
    </r>
  </si>
  <si>
    <t>Art. 7º, XIX, CF/88 e 10, § 1º, da CLT e inciso II do art. 1º da Lei nº 11.770, de 9 de setembro de 2008</t>
  </si>
  <si>
    <r>
      <rPr>
        <b/>
        <sz val="11"/>
        <color rgb="FF000000"/>
        <rFont val="Times New Roman"/>
        <family val="1"/>
        <charset val="1"/>
      </rPr>
      <t>Ausência por Acidente de Trabalho</t>
    </r>
    <r>
      <rPr>
        <b/>
        <vertAlign val="superscript"/>
        <sz val="11"/>
        <rFont val="Times New Roman"/>
        <family val="1"/>
        <charset val="1"/>
      </rPr>
      <t>5</t>
    </r>
  </si>
  <si>
    <t>§ 2º do art. 43 da Lei 8.213, de 24 de julho de 1991.</t>
  </si>
  <si>
    <r>
      <rPr>
        <b/>
        <sz val="11"/>
        <color rgb="FF000000"/>
        <rFont val="Times New Roman"/>
        <family val="1"/>
        <charset val="1"/>
      </rPr>
      <t>Afastamento Maternidade</t>
    </r>
    <r>
      <rPr>
        <b/>
        <vertAlign val="superscript"/>
        <sz val="11"/>
        <color rgb="FF000000"/>
        <rFont val="Times New Roman"/>
        <family val="1"/>
        <charset val="1"/>
      </rPr>
      <t>6</t>
    </r>
  </si>
  <si>
    <t>Impacto do item férias sobre a licença maternidade, visto que a licença é paga pelo INSS e não gera custo e reposição, inciso I do art. 1º da Lei nº 11.770, de 9 de setembro de 2008</t>
  </si>
  <si>
    <t>Total Submódulo 4.1</t>
  </si>
  <si>
    <t>Módulo 5:  Insumos Diversos</t>
  </si>
  <si>
    <t>Uniformes</t>
  </si>
  <si>
    <t>C - Equipamentos</t>
  </si>
  <si>
    <t xml:space="preserve">Valor da depreciação mensal calculado em planilha auxiliar </t>
  </si>
  <si>
    <t>,</t>
  </si>
  <si>
    <t>Módulo 6 : Custos indiretos, tributos e lucro</t>
  </si>
  <si>
    <t>Tributação</t>
  </si>
  <si>
    <t>Em decorrência do ISSQN, a planilha de custo  poderá sofrer revisões  de acordo com a Lei Tributária do Município onde se realizará a prestação de serviço.</t>
  </si>
  <si>
    <t xml:space="preserve">B - Lucro </t>
  </si>
  <si>
    <t>C - Tributos</t>
  </si>
  <si>
    <t>C.2  Tributos estaduais (especificar</t>
  </si>
  <si>
    <t>Cálculo:</t>
  </si>
  <si>
    <t>{[Total (Remuneração + Encargos Sociais + Insumos) + Total (Lucro e despesas indiretas)] / [1-(COFINS + PIS + ISS)]/100]} x Alíquota</t>
  </si>
  <si>
    <t>Posto 12x36</t>
  </si>
  <si>
    <t>Tipo de Serviço:</t>
  </si>
  <si>
    <t>VIGILÂNCIA ARMADA DIURNA 12x36</t>
  </si>
  <si>
    <t xml:space="preserve">Tipo de Serviço: </t>
  </si>
  <si>
    <t xml:space="preserve">Vigilante </t>
  </si>
  <si>
    <t>Vigilante</t>
  </si>
  <si>
    <t xml:space="preserve">Art. 193 da CLT. </t>
  </si>
  <si>
    <t xml:space="preserve">Adicional Noturno </t>
  </si>
  <si>
    <t xml:space="preserve">Cálculo adicional noturno </t>
  </si>
  <si>
    <t>Cláusula Décima da CCT PI000002/2022</t>
  </si>
  <si>
    <t xml:space="preserve">Salário base estabelecido na CCT: PI000002/2022. </t>
  </si>
  <si>
    <t xml:space="preserve">Metodologia de cálculo constante no Caderno Técnico de 2017 - Vigilância - Piauí </t>
  </si>
  <si>
    <t xml:space="preserve">Adicional de Hora noturna reduzida </t>
  </si>
  <si>
    <t>Cláusula Nona da CCT PI000002/2022</t>
  </si>
  <si>
    <t xml:space="preserve">Cálculo do adicional noturno de hora reduzida </t>
  </si>
  <si>
    <t xml:space="preserve">Base de cáculo x percentual de horas noturnas diárias x percentual do adicional previsto na CCT PI000002/2022. </t>
  </si>
  <si>
    <t xml:space="preserve">Base de cáculo x percentual de horas noturnas diárias reduzidas x (1 + percentual do adicional previsto na CCT PI000002/2022). </t>
  </si>
  <si>
    <t xml:space="preserve">Art. 22, II, da Lei 8.212/91. </t>
  </si>
  <si>
    <t>Art. 15, Lei nº 8.036/90 e Art. 7º, III, CF.</t>
  </si>
  <si>
    <t>O vale transporte foi baseado no preço da passagem, trajeto de ida e volta, com uma integração do transporte coletivo da respectiva capital do estado do Piauí. E permite uma dedução do valor do vale-transporte de 6% que está de acordo com a lei nº 7.418/85 (desconto máximo de 6% do salário-base - Módulo 1 A) (Decreto Municipal de nº 19.414/2020)</t>
  </si>
  <si>
    <t xml:space="preserve">O valor do auxílio-alimentação estabelecido na Cláusula Décima Terceira da CCT: PI000002/2022. </t>
  </si>
  <si>
    <t>Assistência médica e familiar (50% a cargo do empregador conforme CCT: PI000002/2022 )</t>
  </si>
  <si>
    <t>Auxílio alimentação (vales, cesta básica, entre outros) – CCT PI000002/2022.</t>
  </si>
  <si>
    <t xml:space="preserve">Assistência médica e familiar (Plano de saúde) </t>
  </si>
  <si>
    <t xml:space="preserve">Submódulo 4.2 - Intrajornada - Vigilância Armada Diurna </t>
  </si>
  <si>
    <t xml:space="preserve">Total submódulo 4.2 - Vigilância Armada Diurna </t>
  </si>
  <si>
    <t>Art. 71 da CLT, Clásula vigéssima oitava da CCT: PI000002/2022</t>
  </si>
  <si>
    <t>Sub. 2.2 = 39,80% x 122,84</t>
  </si>
  <si>
    <t xml:space="preserve">VIGILÂNCIA </t>
  </si>
  <si>
    <t>(100/220)*15H*1,5</t>
  </si>
  <si>
    <t>C.1. Tributos federais : PIS=0,65% e COFINS=3,00%</t>
  </si>
  <si>
    <t xml:space="preserve">A - Custos Indiretos </t>
  </si>
  <si>
    <t>Custos indiretos e Lucro</t>
  </si>
  <si>
    <t xml:space="preserve">O percentual de Custos indiretos e Lucro foi encontrado de acordo com o percentual médio dos referidos itens nas propostas apresentadas pela empresas Castelo LTDA, CET-SEG LTDA, e Brassão LTDA. </t>
  </si>
  <si>
    <t xml:space="preserve">CASTELO </t>
  </si>
  <si>
    <t xml:space="preserve">BRASÃO </t>
  </si>
  <si>
    <t xml:space="preserve">CET-SEG </t>
  </si>
  <si>
    <t xml:space="preserve">HAVAÍ </t>
  </si>
  <si>
    <t xml:space="preserve">VIGILANTE </t>
  </si>
  <si>
    <t xml:space="preserve">Valor médio encontrado atravéz de pesquisa de preços. Calculado em planilha auxiliar </t>
  </si>
  <si>
    <t>A4 VIGILÂNCIA</t>
  </si>
  <si>
    <t xml:space="preserve">O valor da assistência médica e hospitalar foi cotado de acordo com o valor médio de 5 propostas apresentas e registradas , ressaltando que assistência médica cabe  50% ao  empregador conforme Cláusula Trigésima Sétima da CCT: PI000002/2022.
</t>
  </si>
  <si>
    <t>O valor corresponde ao valor médio de 5 propostas apresentadas. Cláuslua trigésima oitava da CCT: PI000002/2022.</t>
  </si>
  <si>
    <t>Assistência médica e familiar (Plano de saúde)</t>
  </si>
  <si>
    <t xml:space="preserve">Valor cálculado em planilha auxiliar </t>
  </si>
  <si>
    <t>((15/30)/12*(0,1642*(252/365)))</t>
  </si>
  <si>
    <t>((1x5(252/365))/30)/12</t>
  </si>
  <si>
    <t>{[(0,1531*2+0,0301*2*(252/365)+0,0163*3+0,02*1+0,004*1+0,0003*6)/30]/12}</t>
  </si>
  <si>
    <r>
      <t xml:space="preserve">1 Média estimada (1x1=1) de ausência justificada conforme página 26 do Caderno de Estudo sobre a Composição dos Custos dos Valores Limites dos Serviços de Serviços de Vigilância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https://https://www.gov.br/compras/pt-br/agente-publico/cadernos-tecnicos-e-valores-limites/cts-2017/ct-piau-vigilncia-2017.pdf</t>
    </r>
  </si>
  <si>
    <r>
      <t xml:space="preserve">2 Média estimada {(0,1531x2)+(0,0,0301x2x(252/365))+(0,0163x3)+(0,02x1)+(0,004x1)+(0,0003x6)}, conforme página 26 do Caderno de Estudo sobre a Composição dos Custos dos Valores Limites dos Serviços de Serviços de Viliância 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https://https://www.gov.br/compras/pt-br/agente-publico/cadernos-tecnicos-e-valores-limites/cts-2017/ct-piau-vigilncia-2017.pdf</t>
    </r>
  </si>
  <si>
    <r>
      <t xml:space="preserve">3 Média estimada (1 x 5 x 252/365 = 3,4521) de ausência por doença conforme página 26 do Caderno de Estudo sobre a Composição dos Custos dos Valores Limites dos Serviços de Serviços Vigilância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https://https://www.gov.br/compras/pt-br/agente-publico/cadernos-tecnicos-e-valores-limites/cts-2017/ct-piau-vigilncia-2017.pdf</t>
    </r>
  </si>
  <si>
    <t>4 Estimativa de 5 (cinco) dias da licença por ano combinada com a estimativa (0,042 x 252/365 =0,02899) = 0,05796 presente na página 17 do Caderno de Estudo sobre a Composição dos Custos dos Valores Limites dos Serviços de Serviços de Limpeza e Conservação do Piauí.  Disponível no Link https://www.comprasgovernamentais.gov.br/images/conteudo/ArquivosCGNOR/Cadernostecnicos/Cadernos2018/CT_LIM_PI_2018.pdf. A estatimativa foi alterada de 20 para 5 dias, pois mesmo que a empresa faça a opção pelo Programa empresa Cidadã. a despesa é dedutível do IRPJ em função do art. 5º da Lei 11.770/2008 não havendo custo de reposição.</t>
  </si>
  <si>
    <r>
      <t xml:space="preserve">5  Estimativa de 15 (quinze) dias por ano combinada com estimativa (0,1642*(252/365)= 0,11336548) conforme página 26 do Caderno de Estudo sobre a Composição dos Custos dos Valores Limites dos Serviços de Vigilância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https://https://www.gov.br/compras/pt-br/agente-publico/cadernos-tecnicos-e-valores-limites/cts-2017/ct-piau-vigilncia-2017.pdf</t>
    </r>
  </si>
  <si>
    <t>{[5/30)/12]x 0,0420}x 252/365</t>
  </si>
  <si>
    <t>((1+(1/3))*((4/12))/12*(0,0038*(252/365)))</t>
  </si>
  <si>
    <r>
      <t xml:space="preserve">6 Estimativa de 0,0026235616 (0,0038x252/365)) dos empregados usufruindo de 4 (quatro) meses de licença por ano conforme página 26 do Caderno de Estudo sobre a Composição dos Custos dos Valores Limites dos Serviços de Vigilância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https://https://www.gov.br/compras/pt-br/agente-publico/cadernos-tecnicos-e-valores-limites/cts-2017/ct-piau-vigilncia-2017.pdf</t>
    </r>
    <r>
      <rPr>
        <sz val="11"/>
        <color rgb="FF000000"/>
        <rFont val="Times New Roman"/>
        <family val="1"/>
        <charset val="1"/>
      </rPr>
      <t>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</si>
  <si>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C.1. Tributos federais : PIS=1,65% e COFINS=7,60%</t>
  </si>
  <si>
    <t>Os tributos (COFINS e PIS) foram definidos utilizando o regime de tributação de Lucro Real, a licitante deve elaborar sua proposta e, por conseguinte, sua planilha com base no regime de tributação ao qual estará submetido durante a execução do contrato.</t>
  </si>
  <si>
    <t>R$ 1.984,68 x 0,66 x 0,3 =  R$ 392,97</t>
  </si>
  <si>
    <t>R$ 1.984,68 x 0,1075 x 1,6 =  R$ 341,37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</si>
</sst>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R$&quot;\ #,##0.00;[Red]\-&quot;R$&quot;\ #,##0.00"/>
    <numFmt numFmtId="164" formatCode="0.000%"/>
    <numFmt numFmtId="165" formatCode="&quot;R$ &quot;#,##0.00"/>
    <numFmt numFmtId="166" formatCode="d/m/yyyy"/>
    <numFmt numFmtId="167" formatCode="_(&quot;R$ &quot;* #,##0.00_);_(&quot;R$ &quot;* \(#,##0.00\);_(&quot;R$ &quot;* \-??_);_(@_)"/>
    <numFmt numFmtId="168" formatCode="_-* #,##0.00_-;\-* #,##0.00_-;_-* \-??_-;_-@_-"/>
    <numFmt numFmtId="169" formatCode="0.0"/>
    <numFmt numFmtId="170" formatCode="[$R$-416]\ #,##0.00;[Red]\-[$R$-416]\ #,##0.00"/>
    <numFmt numFmtId="171" formatCode="0.000000"/>
    <numFmt numFmtId="172" formatCode="0.0000%"/>
    <numFmt numFmtId="173" formatCode="0.0000000"/>
    <numFmt numFmtId="174" formatCode="0.00000"/>
    <numFmt numFmtId="175" formatCode="0.00000%"/>
    <numFmt numFmtId="176" formatCode="&quot;R$&quot;\ #,##0.00"/>
  </numFmts>
  <fonts count="21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333333"/>
      <name val="Open Sans"/>
      <family val="2"/>
      <charset val="1"/>
    </font>
    <font>
      <sz val="11"/>
      <color rgb="FF0000FF"/>
      <name val="Georgia"/>
      <family val="1"/>
      <charset val="1"/>
    </font>
    <font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vertAlign val="superscript"/>
      <sz val="11"/>
      <color rgb="FF000000"/>
      <name val="Times New Roman"/>
      <family val="1"/>
      <charset val="1"/>
    </font>
    <font>
      <vertAlign val="superscript"/>
      <sz val="11"/>
      <color rgb="FF000000"/>
      <name val="Times New Roman"/>
      <family val="1"/>
      <charset val="1"/>
    </font>
    <font>
      <u/>
      <sz val="11"/>
      <color rgb="FF0000FF"/>
      <name val="Times New Roman"/>
      <family val="1"/>
      <charset val="1"/>
    </font>
    <font>
      <u/>
      <sz val="6"/>
      <color rgb="FF0000FF"/>
      <name val="Arial"/>
      <family val="2"/>
      <charset val="1"/>
    </font>
    <font>
      <b/>
      <vertAlign val="superscript"/>
      <sz val="11"/>
      <name val="Times New Roman"/>
      <family val="1"/>
      <charset val="1"/>
    </font>
    <font>
      <b/>
      <sz val="12"/>
      <color rgb="FF000000"/>
      <name val="Tahoma"/>
      <family val="2"/>
      <charset val="1"/>
    </font>
    <font>
      <sz val="10"/>
      <name val="Arial"/>
      <family val="2"/>
      <charset val="1"/>
    </font>
    <font>
      <b/>
      <sz val="1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AC090"/>
        <bgColor rgb="FFC9C9C9"/>
      </patternFill>
    </fill>
    <fill>
      <patternFill patternType="solid">
        <fgColor rgb="FFFFFF00"/>
        <bgColor rgb="FFFFFF00"/>
      </patternFill>
    </fill>
    <fill>
      <patternFill patternType="solid">
        <fgColor rgb="FF8EB4E3"/>
        <bgColor rgb="FF95B3D7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9C9C9"/>
      </patternFill>
    </fill>
    <fill>
      <patternFill patternType="solid">
        <fgColor rgb="FF99FF99"/>
        <bgColor rgb="FFCCFFFF"/>
      </patternFill>
    </fill>
    <fill>
      <patternFill patternType="solid">
        <fgColor rgb="FF95B3D7"/>
        <bgColor rgb="FF8EB4E3"/>
      </patternFill>
    </fill>
    <fill>
      <patternFill patternType="solid">
        <fgColor rgb="FFC6D9F1"/>
        <bgColor rgb="FFC9C9C9"/>
      </patternFill>
    </fill>
    <fill>
      <patternFill patternType="solid">
        <fgColor rgb="FFC9C9C9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9">
    <xf numFmtId="0" fontId="0" fillId="0" borderId="0"/>
    <xf numFmtId="168" fontId="19" fillId="0" borderId="0" applyBorder="0" applyProtection="0"/>
    <xf numFmtId="167" fontId="19" fillId="0" borderId="0" applyBorder="0" applyProtection="0"/>
    <xf numFmtId="9" fontId="19" fillId="0" borderId="0" applyBorder="0" applyProtection="0"/>
    <xf numFmtId="0" fontId="1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 applyAlignment="1"/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4" xfId="0" applyFont="1" applyBorder="1" applyAlignment="1"/>
    <xf numFmtId="165" fontId="2" fillId="0" borderId="6" xfId="0" applyNumberFormat="1" applyFont="1" applyBorder="1" applyAlignment="1"/>
    <xf numFmtId="0" fontId="2" fillId="0" borderId="7" xfId="0" applyFont="1" applyBorder="1" applyAlignment="1"/>
    <xf numFmtId="164" fontId="2" fillId="0" borderId="8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165" fontId="2" fillId="0" borderId="0" xfId="0" applyNumberFormat="1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wrapText="1"/>
    </xf>
    <xf numFmtId="165" fontId="2" fillId="0" borderId="5" xfId="0" applyNumberFormat="1" applyFont="1" applyBorder="1" applyAlignment="1"/>
    <xf numFmtId="0" fontId="3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/>
    <xf numFmtId="165" fontId="2" fillId="0" borderId="3" xfId="0" applyNumberFormat="1" applyFont="1" applyBorder="1" applyAlignment="1"/>
    <xf numFmtId="164" fontId="3" fillId="5" borderId="3" xfId="0" applyNumberFormat="1" applyFont="1" applyFill="1" applyBorder="1" applyAlignment="1"/>
    <xf numFmtId="165" fontId="3" fillId="5" borderId="3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165" fontId="2" fillId="0" borderId="0" xfId="0" applyNumberFormat="1" applyFont="1" applyBorder="1"/>
    <xf numFmtId="0" fontId="3" fillId="0" borderId="4" xfId="0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0" fontId="3" fillId="6" borderId="5" xfId="0" applyFont="1" applyFill="1" applyBorder="1" applyAlignment="1">
      <alignment wrapText="1"/>
    </xf>
    <xf numFmtId="165" fontId="2" fillId="5" borderId="3" xfId="0" applyNumberFormat="1" applyFont="1" applyFill="1" applyBorder="1" applyAlignment="1"/>
    <xf numFmtId="0" fontId="3" fillId="6" borderId="5" xfId="0" applyFont="1" applyFill="1" applyBorder="1" applyAlignment="1"/>
    <xf numFmtId="164" fontId="3" fillId="6" borderId="5" xfId="0" applyNumberFormat="1" applyFont="1" applyFill="1" applyBorder="1" applyAlignment="1"/>
    <xf numFmtId="165" fontId="3" fillId="6" borderId="5" xfId="0" applyNumberFormat="1" applyFont="1" applyFill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2" applyFont="1" applyBorder="1" applyAlignment="1" applyProtection="1"/>
    <xf numFmtId="165" fontId="4" fillId="0" borderId="0" xfId="0" applyNumberFormat="1" applyFont="1"/>
    <xf numFmtId="164" fontId="3" fillId="5" borderId="3" xfId="0" applyNumberFormat="1" applyFont="1" applyFill="1" applyBorder="1" applyAlignment="1">
      <alignment horizontal="right"/>
    </xf>
    <xf numFmtId="165" fontId="3" fillId="5" borderId="3" xfId="0" applyNumberFormat="1" applyFont="1" applyFill="1" applyBorder="1"/>
    <xf numFmtId="168" fontId="2" fillId="0" borderId="0" xfId="0" applyNumberFormat="1" applyFont="1"/>
    <xf numFmtId="0" fontId="3" fillId="6" borderId="4" xfId="0" applyFont="1" applyFill="1" applyBorder="1" applyAlignment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5" fontId="2" fillId="0" borderId="3" xfId="0" applyNumberFormat="1" applyFont="1" applyBorder="1"/>
    <xf numFmtId="0" fontId="3" fillId="6" borderId="9" xfId="0" applyFont="1" applyFill="1" applyBorder="1" applyAlignment="1"/>
    <xf numFmtId="164" fontId="2" fillId="0" borderId="3" xfId="0" applyNumberFormat="1" applyFont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/>
    <xf numFmtId="165" fontId="3" fillId="0" borderId="3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4" fontId="2" fillId="0" borderId="10" xfId="0" applyNumberFormat="1" applyFont="1" applyBorder="1" applyAlignment="1"/>
    <xf numFmtId="165" fontId="3" fillId="0" borderId="10" xfId="0" applyNumberFormat="1" applyFont="1" applyBorder="1"/>
    <xf numFmtId="0" fontId="3" fillId="6" borderId="11" xfId="0" applyFont="1" applyFill="1" applyBorder="1" applyAlignment="1"/>
    <xf numFmtId="0" fontId="3" fillId="6" borderId="8" xfId="0" applyFont="1" applyFill="1" applyBorder="1" applyAlignment="1">
      <alignment wrapText="1"/>
    </xf>
    <xf numFmtId="164" fontId="3" fillId="6" borderId="8" xfId="0" applyNumberFormat="1" applyFont="1" applyFill="1" applyBorder="1" applyAlignment="1"/>
    <xf numFmtId="165" fontId="3" fillId="6" borderId="8" xfId="0" applyNumberFormat="1" applyFont="1" applyFill="1" applyBorder="1" applyAlignment="1"/>
    <xf numFmtId="165" fontId="2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6" borderId="3" xfId="0" applyFont="1" applyFill="1" applyBorder="1" applyAlignment="1">
      <alignment horizontal="center"/>
    </xf>
    <xf numFmtId="0" fontId="3" fillId="7" borderId="4" xfId="0" applyFont="1" applyFill="1" applyBorder="1" applyAlignment="1"/>
    <xf numFmtId="0" fontId="3" fillId="7" borderId="5" xfId="0" applyFont="1" applyFill="1" applyBorder="1" applyAlignment="1">
      <alignment horizontal="right" wrapText="1"/>
    </xf>
    <xf numFmtId="164" fontId="3" fillId="7" borderId="5" xfId="0" applyNumberFormat="1" applyFont="1" applyFill="1" applyBorder="1" applyAlignment="1"/>
    <xf numFmtId="165" fontId="3" fillId="7" borderId="3" xfId="0" applyNumberFormat="1" applyFont="1" applyFill="1" applyBorder="1" applyAlignment="1"/>
    <xf numFmtId="164" fontId="3" fillId="0" borderId="5" xfId="0" applyNumberFormat="1" applyFont="1" applyBorder="1" applyAlignment="1"/>
    <xf numFmtId="165" fontId="3" fillId="0" borderId="6" xfId="0" applyNumberFormat="1" applyFont="1" applyBorder="1" applyAlignment="1"/>
    <xf numFmtId="0" fontId="2" fillId="0" borderId="4" xfId="0" applyFont="1" applyBorder="1" applyAlignment="1">
      <alignment vertical="center" wrapText="1"/>
    </xf>
    <xf numFmtId="167" fontId="3" fillId="0" borderId="0" xfId="2" applyFont="1" applyBorder="1" applyAlignment="1" applyProtection="1"/>
    <xf numFmtId="164" fontId="3" fillId="5" borderId="5" xfId="0" applyNumberFormat="1" applyFont="1" applyFill="1" applyBorder="1" applyAlignment="1"/>
    <xf numFmtId="165" fontId="3" fillId="5" borderId="6" xfId="0" applyNumberFormat="1" applyFont="1" applyFill="1" applyBorder="1" applyAlignment="1"/>
    <xf numFmtId="0" fontId="2" fillId="0" borderId="10" xfId="0" applyFont="1" applyBorder="1" applyAlignment="1">
      <alignment wrapText="1"/>
    </xf>
    <xf numFmtId="165" fontId="2" fillId="0" borderId="10" xfId="0" applyNumberFormat="1" applyFont="1" applyBorder="1" applyAlignment="1"/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/>
    <xf numFmtId="165" fontId="3" fillId="5" borderId="3" xfId="0" applyNumberFormat="1" applyFont="1" applyFill="1" applyBorder="1" applyAlignment="1">
      <alignment vertical="center"/>
    </xf>
    <xf numFmtId="0" fontId="2" fillId="0" borderId="1" xfId="0" applyFont="1" applyBorder="1" applyAlignment="1"/>
    <xf numFmtId="0" fontId="5" fillId="6" borderId="13" xfId="7" applyFont="1" applyFill="1" applyBorder="1" applyAlignment="1">
      <alignment vertical="center"/>
    </xf>
    <xf numFmtId="0" fontId="6" fillId="6" borderId="2" xfId="7" applyFont="1" applyFill="1" applyBorder="1" applyAlignment="1">
      <alignment horizontal="center" vertical="center" wrapText="1"/>
    </xf>
    <xf numFmtId="4" fontId="6" fillId="6" borderId="2" xfId="7" applyNumberFormat="1" applyFont="1" applyFill="1" applyBorder="1" applyAlignment="1">
      <alignment horizontal="center" vertical="center" wrapText="1"/>
    </xf>
    <xf numFmtId="0" fontId="6" fillId="6" borderId="13" xfId="7" applyFont="1" applyFill="1" applyBorder="1" applyAlignment="1">
      <alignment horizontal="center" vertical="center" wrapText="1"/>
    </xf>
    <xf numFmtId="0" fontId="6" fillId="6" borderId="13" xfId="7" applyFont="1" applyFill="1" applyBorder="1" applyAlignment="1">
      <alignment horizontal="left" vertical="center"/>
    </xf>
    <xf numFmtId="165" fontId="6" fillId="6" borderId="2" xfId="7" applyNumberFormat="1" applyFont="1" applyFill="1" applyBorder="1" applyAlignment="1">
      <alignment horizontal="center" vertical="center"/>
    </xf>
    <xf numFmtId="3" fontId="6" fillId="6" borderId="2" xfId="7" applyNumberFormat="1" applyFont="1" applyFill="1" applyBorder="1" applyAlignment="1">
      <alignment horizontal="center" vertical="center"/>
    </xf>
    <xf numFmtId="0" fontId="6" fillId="6" borderId="0" xfId="7" applyFont="1" applyFill="1" applyBorder="1" applyAlignment="1">
      <alignment horizontal="right" vertical="center"/>
    </xf>
    <xf numFmtId="0" fontId="6" fillId="6" borderId="0" xfId="7" applyFont="1" applyFill="1" applyBorder="1" applyAlignment="1">
      <alignment vertical="center"/>
    </xf>
    <xf numFmtId="165" fontId="5" fillId="6" borderId="14" xfId="7" applyNumberFormat="1" applyFont="1" applyFill="1" applyBorder="1" applyAlignment="1">
      <alignment horizontal="center" vertical="center"/>
    </xf>
    <xf numFmtId="165" fontId="2" fillId="0" borderId="16" xfId="0" applyNumberFormat="1" applyFont="1" applyBorder="1" applyAlignment="1"/>
    <xf numFmtId="165" fontId="3" fillId="0" borderId="16" xfId="0" applyNumberFormat="1" applyFont="1" applyBorder="1" applyAlignment="1"/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164" fontId="3" fillId="0" borderId="13" xfId="0" applyNumberFormat="1" applyFont="1" applyBorder="1" applyAlignment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69" fontId="3" fillId="0" borderId="0" xfId="0" applyNumberFormat="1" applyFont="1"/>
    <xf numFmtId="0" fontId="7" fillId="0" borderId="0" xfId="0" applyFont="1"/>
    <xf numFmtId="0" fontId="8" fillId="0" borderId="0" xfId="0" applyFont="1"/>
    <xf numFmtId="165" fontId="2" fillId="0" borderId="3" xfId="0" applyNumberFormat="1" applyFont="1" applyBorder="1" applyAlignment="1">
      <alignment horizontal="center" vertical="center"/>
    </xf>
    <xf numFmtId="164" fontId="3" fillId="9" borderId="3" xfId="0" applyNumberFormat="1" applyFont="1" applyFill="1" applyBorder="1" applyAlignment="1"/>
    <xf numFmtId="165" fontId="3" fillId="9" borderId="3" xfId="0" applyNumberFormat="1" applyFont="1" applyFill="1" applyBorder="1" applyAlignment="1"/>
    <xf numFmtId="0" fontId="3" fillId="0" borderId="4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/>
    </xf>
    <xf numFmtId="164" fontId="3" fillId="9" borderId="3" xfId="0" applyNumberFormat="1" applyFont="1" applyFill="1" applyBorder="1" applyAlignment="1">
      <alignment horizontal="right"/>
    </xf>
    <xf numFmtId="165" fontId="3" fillId="9" borderId="3" xfId="0" applyNumberFormat="1" applyFont="1" applyFill="1" applyBorder="1"/>
    <xf numFmtId="164" fontId="3" fillId="9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65" fontId="3" fillId="5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5" fontId="3" fillId="10" borderId="3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11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11" borderId="2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170" fontId="9" fillId="4" borderId="0" xfId="0" applyNumberFormat="1" applyFont="1" applyFill="1" applyAlignment="1">
      <alignment wrapText="1"/>
    </xf>
    <xf numFmtId="170" fontId="9" fillId="0" borderId="0" xfId="0" applyNumberFormat="1" applyFont="1" applyAlignment="1">
      <alignment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0" fillId="0" borderId="13" xfId="0" applyFont="1" applyBorder="1" applyAlignment="1">
      <alignment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3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29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3" xfId="0" applyNumberFormat="1" applyFont="1" applyBorder="1"/>
    <xf numFmtId="4" fontId="9" fillId="0" borderId="0" xfId="0" applyNumberFormat="1" applyFont="1"/>
    <xf numFmtId="4" fontId="12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4" borderId="3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10" fillId="11" borderId="2" xfId="0" applyFont="1" applyFill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27" xfId="0" applyFont="1" applyBorder="1" applyAlignment="1">
      <alignment horizontal="left" vertical="center" wrapText="1"/>
    </xf>
    <xf numFmtId="164" fontId="9" fillId="0" borderId="0" xfId="3" applyNumberFormat="1" applyFont="1" applyBorder="1" applyAlignment="1" applyProtection="1">
      <alignment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0" fontId="9" fillId="0" borderId="0" xfId="3" applyNumberFormat="1" applyFont="1" applyBorder="1" applyAlignment="1" applyProtection="1">
      <alignment wrapText="1"/>
    </xf>
    <xf numFmtId="0" fontId="10" fillId="0" borderId="1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justify" vertical="center" wrapText="1"/>
    </xf>
    <xf numFmtId="164" fontId="11" fillId="0" borderId="31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15" fillId="0" borderId="27" xfId="4" applyFont="1" applyBorder="1" applyAlignment="1" applyProtection="1">
      <alignment horizontal="justify" vertical="center" wrapText="1"/>
    </xf>
    <xf numFmtId="0" fontId="12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164" fontId="9" fillId="0" borderId="0" xfId="0" applyNumberFormat="1" applyFont="1" applyAlignment="1">
      <alignment wrapText="1"/>
    </xf>
    <xf numFmtId="0" fontId="15" fillId="0" borderId="0" xfId="4" applyFont="1" applyBorder="1" applyAlignment="1" applyProtection="1">
      <alignment wrapText="1"/>
    </xf>
    <xf numFmtId="0" fontId="12" fillId="6" borderId="16" xfId="0" applyFont="1" applyFill="1" applyBorder="1" applyAlignment="1">
      <alignment wrapText="1"/>
    </xf>
    <xf numFmtId="0" fontId="12" fillId="6" borderId="0" xfId="0" applyFont="1" applyFill="1" applyBorder="1" applyAlignment="1">
      <alignment wrapText="1"/>
    </xf>
    <xf numFmtId="171" fontId="15" fillId="0" borderId="0" xfId="4" applyNumberFormat="1" applyFont="1" applyBorder="1" applyAlignment="1" applyProtection="1">
      <alignment wrapText="1"/>
    </xf>
    <xf numFmtId="10" fontId="9" fillId="0" borderId="0" xfId="0" applyNumberFormat="1" applyFont="1" applyAlignment="1">
      <alignment wrapText="1"/>
    </xf>
    <xf numFmtId="172" fontId="9" fillId="0" borderId="0" xfId="3" applyNumberFormat="1" applyFont="1" applyBorder="1" applyAlignment="1" applyProtection="1">
      <alignment wrapText="1"/>
    </xf>
    <xf numFmtId="173" fontId="9" fillId="0" borderId="0" xfId="0" applyNumberFormat="1" applyFont="1" applyAlignment="1">
      <alignment wrapText="1"/>
    </xf>
    <xf numFmtId="0" fontId="12" fillId="0" borderId="7" xfId="0" applyFont="1" applyBorder="1" applyAlignment="1">
      <alignment wrapText="1"/>
    </xf>
    <xf numFmtId="174" fontId="9" fillId="0" borderId="0" xfId="0" applyNumberFormat="1" applyFont="1" applyAlignment="1">
      <alignment wrapText="1"/>
    </xf>
    <xf numFmtId="0" fontId="10" fillId="11" borderId="32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168" fontId="9" fillId="0" borderId="0" xfId="1" applyFont="1" applyBorder="1" applyAlignment="1" applyProtection="1">
      <alignment wrapText="1"/>
    </xf>
    <xf numFmtId="165" fontId="11" fillId="6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6" borderId="3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left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4" fontId="11" fillId="6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10" fillId="0" borderId="31" xfId="0" applyFont="1" applyBorder="1" applyAlignment="1">
      <alignment horizontal="right" vertical="center" wrapText="1"/>
    </xf>
    <xf numFmtId="0" fontId="10" fillId="0" borderId="32" xfId="0" applyFont="1" applyBorder="1" applyAlignment="1">
      <alignment vertical="center" wrapText="1"/>
    </xf>
    <xf numFmtId="0" fontId="9" fillId="0" borderId="33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10" fillId="0" borderId="16" xfId="0" applyFont="1" applyBorder="1" applyAlignment="1">
      <alignment vertical="center" wrapText="1"/>
    </xf>
    <xf numFmtId="0" fontId="9" fillId="0" borderId="34" xfId="0" applyFont="1" applyBorder="1" applyAlignment="1">
      <alignment wrapText="1"/>
    </xf>
    <xf numFmtId="0" fontId="11" fillId="0" borderId="16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wrapText="1"/>
    </xf>
    <xf numFmtId="0" fontId="9" fillId="0" borderId="27" xfId="0" applyFont="1" applyBorder="1" applyAlignment="1">
      <alignment wrapText="1"/>
    </xf>
    <xf numFmtId="165" fontId="9" fillId="0" borderId="0" xfId="0" applyNumberFormat="1" applyFont="1" applyAlignment="1">
      <alignment wrapText="1"/>
    </xf>
    <xf numFmtId="175" fontId="9" fillId="0" borderId="0" xfId="0" applyNumberFormat="1" applyFont="1" applyAlignment="1">
      <alignment wrapText="1"/>
    </xf>
    <xf numFmtId="0" fontId="2" fillId="0" borderId="7" xfId="0" applyFont="1" applyFill="1" applyBorder="1" applyAlignment="1"/>
    <xf numFmtId="10" fontId="19" fillId="0" borderId="3" xfId="1" applyNumberFormat="1" applyBorder="1"/>
    <xf numFmtId="0" fontId="20" fillId="13" borderId="0" xfId="0" applyFont="1" applyFill="1" applyAlignment="1">
      <alignment wrapText="1"/>
    </xf>
    <xf numFmtId="8" fontId="9" fillId="13" borderId="0" xfId="0" applyNumberFormat="1" applyFont="1" applyFill="1" applyAlignment="1">
      <alignment horizontal="left" wrapText="1"/>
    </xf>
    <xf numFmtId="0" fontId="20" fillId="14" borderId="0" xfId="0" applyFont="1" applyFill="1" applyAlignment="1">
      <alignment wrapText="1"/>
    </xf>
    <xf numFmtId="0" fontId="9" fillId="14" borderId="0" xfId="0" applyFont="1" applyFill="1" applyAlignment="1">
      <alignment wrapText="1"/>
    </xf>
    <xf numFmtId="0" fontId="10" fillId="0" borderId="13" xfId="0" applyFont="1" applyBorder="1" applyAlignment="1">
      <alignment horizontal="left" vertical="center" wrapText="1"/>
    </xf>
    <xf numFmtId="10" fontId="19" fillId="0" borderId="27" xfId="3" applyNumberFormat="1" applyBorder="1" applyAlignment="1">
      <alignment horizontal="center"/>
    </xf>
    <xf numFmtId="10" fontId="11" fillId="0" borderId="27" xfId="0" applyNumberFormat="1" applyFont="1" applyBorder="1" applyAlignment="1">
      <alignment horizontal="center" vertical="center" wrapText="1"/>
    </xf>
    <xf numFmtId="10" fontId="10" fillId="0" borderId="27" xfId="0" applyNumberFormat="1" applyFont="1" applyBorder="1" applyAlignment="1">
      <alignment horizontal="center" vertical="center" wrapText="1"/>
    </xf>
    <xf numFmtId="4" fontId="12" fillId="4" borderId="6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/>
    <xf numFmtId="0" fontId="2" fillId="0" borderId="0" xfId="0" applyFont="1" applyFill="1" applyBorder="1"/>
    <xf numFmtId="1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2" fillId="0" borderId="0" xfId="0" applyFont="1" applyFill="1"/>
    <xf numFmtId="165" fontId="11" fillId="0" borderId="30" xfId="0" applyNumberFormat="1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164" fontId="11" fillId="0" borderId="27" xfId="0" applyNumberFormat="1" applyFont="1" applyFill="1" applyBorder="1" applyAlignment="1">
      <alignment horizontal="left" vertical="center" wrapText="1"/>
    </xf>
    <xf numFmtId="10" fontId="0" fillId="0" borderId="27" xfId="3" applyNumberFormat="1" applyFont="1" applyFill="1" applyBorder="1"/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justify" vertical="top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right" vertical="center"/>
    </xf>
    <xf numFmtId="165" fontId="3" fillId="0" borderId="23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70" fontId="10" fillId="0" borderId="0" xfId="0" applyNumberFormat="1" applyFont="1" applyBorder="1" applyAlignment="1">
      <alignment vertical="center" wrapText="1"/>
    </xf>
    <xf numFmtId="0" fontId="6" fillId="6" borderId="2" xfId="7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5" fillId="6" borderId="2" xfId="7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164" fontId="3" fillId="10" borderId="3" xfId="0" applyNumberFormat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4" fontId="12" fillId="4" borderId="22" xfId="0" applyNumberFormat="1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9" fillId="13" borderId="0" xfId="0" applyFont="1" applyFill="1" applyAlignment="1">
      <alignment horizontal="center" wrapText="1"/>
    </xf>
    <xf numFmtId="170" fontId="9" fillId="12" borderId="0" xfId="0" applyNumberFormat="1" applyFont="1" applyFill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0" fillId="11" borderId="15" xfId="0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76" fontId="10" fillId="6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</cellXfs>
  <cellStyles count="9">
    <cellStyle name="Hiperlink" xfId="4" builtinId="8"/>
    <cellStyle name="Moeda" xfId="2" builtinId="4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8EB4E3"/>
      <rgbColor rgb="FFFF99CC"/>
      <rgbColor rgb="FFC9C9C9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jpi.jus.br/transparencia/uploads/legislacao_lei/file/2122/Portaria__Presid&#234;ncia__N&#186;_2845-2019_-_PJPI_TJPI_GABPRE_SECGER-mesclado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J161"/>
  <sheetViews>
    <sheetView view="pageBreakPreview" topLeftCell="A97" zoomScale="90" zoomScaleNormal="90" zoomScalePageLayoutView="90" workbookViewId="0">
      <selection activeCell="E147" sqref="E147"/>
    </sheetView>
  </sheetViews>
  <sheetFormatPr defaultColWidth="9.140625" defaultRowHeight="14.25" x14ac:dyDescent="0.2"/>
  <cols>
    <col min="1" max="1" width="4.7109375" style="1" customWidth="1"/>
    <col min="2" max="2" width="65.5703125" style="2" customWidth="1"/>
    <col min="3" max="3" width="18.5703125" style="3" customWidth="1"/>
    <col min="4" max="4" width="19.28515625" style="4" customWidth="1"/>
    <col min="5" max="5" width="13.85546875" style="1" customWidth="1"/>
    <col min="6" max="6" width="18" style="1" customWidth="1"/>
    <col min="7" max="7" width="15.85546875" style="1" customWidth="1"/>
    <col min="8" max="8" width="9.5703125" style="1" customWidth="1"/>
    <col min="9" max="1024" width="9.140625" style="1"/>
  </cols>
  <sheetData>
    <row r="1" spans="1:4" x14ac:dyDescent="0.2">
      <c r="A1" s="5"/>
      <c r="C1" s="6"/>
      <c r="D1" s="7"/>
    </row>
    <row r="2" spans="1:4" ht="15" x14ac:dyDescent="0.25">
      <c r="A2" s="311" t="s">
        <v>0</v>
      </c>
      <c r="B2" s="311"/>
      <c r="C2" s="312" t="str">
        <f>'Memoria de Cálculo'!A2</f>
        <v>VIGILÂNCIA ARMADA DIURNA 12x36</v>
      </c>
      <c r="D2" s="312"/>
    </row>
    <row r="3" spans="1:4" x14ac:dyDescent="0.2">
      <c r="A3" s="8"/>
      <c r="B3" s="9"/>
      <c r="C3" s="10"/>
      <c r="D3" s="11"/>
    </row>
    <row r="4" spans="1:4" ht="15" x14ac:dyDescent="0.25">
      <c r="A4" s="303" t="s">
        <v>1</v>
      </c>
      <c r="B4" s="303"/>
      <c r="C4" s="303"/>
      <c r="D4" s="303"/>
    </row>
    <row r="5" spans="1:4" x14ac:dyDescent="0.2">
      <c r="A5" s="12" t="s">
        <v>2</v>
      </c>
      <c r="B5" s="13" t="s">
        <v>3</v>
      </c>
      <c r="C5" s="14"/>
      <c r="D5" s="15"/>
    </row>
    <row r="6" spans="1:4" x14ac:dyDescent="0.2">
      <c r="A6" s="12" t="s">
        <v>4</v>
      </c>
      <c r="B6" s="13" t="s">
        <v>5</v>
      </c>
      <c r="C6" s="14"/>
      <c r="D6" s="16" t="s">
        <v>6</v>
      </c>
    </row>
    <row r="7" spans="1:4" ht="15" x14ac:dyDescent="0.25">
      <c r="A7" s="12" t="s">
        <v>7</v>
      </c>
      <c r="B7" s="13" t="s">
        <v>8</v>
      </c>
      <c r="C7" s="14"/>
      <c r="D7" s="17" t="s">
        <v>143</v>
      </c>
    </row>
    <row r="8" spans="1:4" x14ac:dyDescent="0.2">
      <c r="A8" s="12" t="s">
        <v>9</v>
      </c>
      <c r="B8" s="13" t="s">
        <v>10</v>
      </c>
      <c r="C8" s="14"/>
      <c r="D8" s="18">
        <v>12</v>
      </c>
    </row>
    <row r="9" spans="1:4" x14ac:dyDescent="0.2">
      <c r="A9" s="19"/>
      <c r="B9" s="20"/>
      <c r="C9" s="21"/>
      <c r="D9" s="22"/>
    </row>
    <row r="10" spans="1:4" ht="15" x14ac:dyDescent="0.25">
      <c r="A10" s="303" t="s">
        <v>11</v>
      </c>
      <c r="B10" s="303"/>
      <c r="C10" s="303"/>
      <c r="D10" s="303"/>
    </row>
    <row r="11" spans="1:4" x14ac:dyDescent="0.2">
      <c r="A11" s="23"/>
      <c r="B11" s="23" t="s">
        <v>246</v>
      </c>
      <c r="C11" s="14"/>
      <c r="D11" s="16" t="s">
        <v>16</v>
      </c>
    </row>
    <row r="12" spans="1:4" x14ac:dyDescent="0.2">
      <c r="A12" s="25"/>
      <c r="B12" s="266" t="s">
        <v>12</v>
      </c>
      <c r="C12" s="26"/>
      <c r="D12" s="16" t="s">
        <v>245</v>
      </c>
    </row>
    <row r="13" spans="1:4" x14ac:dyDescent="0.2">
      <c r="A13" s="25"/>
      <c r="B13" s="25" t="s">
        <v>13</v>
      </c>
      <c r="C13" s="26"/>
      <c r="D13" s="280">
        <v>57</v>
      </c>
    </row>
    <row r="14" spans="1:4" x14ac:dyDescent="0.2">
      <c r="A14" s="27"/>
      <c r="B14" s="28"/>
      <c r="C14" s="29"/>
      <c r="D14" s="30"/>
    </row>
    <row r="15" spans="1:4" x14ac:dyDescent="0.2">
      <c r="A15" s="19"/>
      <c r="B15" s="20"/>
      <c r="C15" s="21"/>
      <c r="D15" s="22"/>
    </row>
    <row r="16" spans="1:4" ht="15" x14ac:dyDescent="0.25">
      <c r="A16" s="303" t="s">
        <v>14</v>
      </c>
      <c r="B16" s="303"/>
      <c r="C16" s="303"/>
      <c r="D16" s="303"/>
    </row>
    <row r="17" spans="1:5" x14ac:dyDescent="0.2">
      <c r="A17" s="12">
        <v>1</v>
      </c>
      <c r="B17" s="13" t="s">
        <v>15</v>
      </c>
      <c r="C17" s="14"/>
      <c r="D17" s="16" t="s">
        <v>16</v>
      </c>
    </row>
    <row r="18" spans="1:5" x14ac:dyDescent="0.2">
      <c r="A18" s="12">
        <v>2</v>
      </c>
      <c r="B18" s="13" t="s">
        <v>17</v>
      </c>
      <c r="C18" s="14"/>
      <c r="D18" s="16" t="s">
        <v>18</v>
      </c>
    </row>
    <row r="19" spans="1:5" x14ac:dyDescent="0.2">
      <c r="A19" s="12">
        <v>3</v>
      </c>
      <c r="B19" s="13" t="s">
        <v>19</v>
      </c>
      <c r="C19" s="14"/>
      <c r="D19" s="16">
        <f>'Memoria de Cálculo'!C5</f>
        <v>1526.68</v>
      </c>
    </row>
    <row r="20" spans="1:5" x14ac:dyDescent="0.2">
      <c r="A20" s="12">
        <v>4</v>
      </c>
      <c r="B20" s="13" t="s">
        <v>20</v>
      </c>
      <c r="C20" s="14"/>
      <c r="D20" s="16" t="s">
        <v>250</v>
      </c>
    </row>
    <row r="21" spans="1:5" x14ac:dyDescent="0.2">
      <c r="A21" s="12">
        <v>5</v>
      </c>
      <c r="B21" s="13" t="s">
        <v>21</v>
      </c>
      <c r="C21" s="14"/>
      <c r="D21" s="15">
        <v>44562</v>
      </c>
    </row>
    <row r="22" spans="1:5" x14ac:dyDescent="0.2">
      <c r="A22" s="31"/>
      <c r="B22" s="32"/>
      <c r="C22" s="14"/>
      <c r="D22" s="33"/>
    </row>
    <row r="23" spans="1:5" ht="15" x14ac:dyDescent="0.25">
      <c r="A23" s="303" t="s">
        <v>22</v>
      </c>
      <c r="B23" s="303"/>
      <c r="C23" s="303"/>
      <c r="D23" s="303"/>
    </row>
    <row r="24" spans="1:5" ht="15" x14ac:dyDescent="0.25">
      <c r="A24" s="17">
        <v>1</v>
      </c>
      <c r="B24" s="34" t="s">
        <v>23</v>
      </c>
      <c r="C24" s="35" t="s">
        <v>24</v>
      </c>
      <c r="D24" s="36" t="s">
        <v>25</v>
      </c>
    </row>
    <row r="25" spans="1:5" ht="15" x14ac:dyDescent="0.25">
      <c r="A25" s="17" t="s">
        <v>2</v>
      </c>
      <c r="B25" s="37" t="s">
        <v>26</v>
      </c>
      <c r="C25" s="38"/>
      <c r="D25" s="39">
        <f>D19</f>
        <v>1526.68</v>
      </c>
    </row>
    <row r="26" spans="1:5" ht="15" x14ac:dyDescent="0.25">
      <c r="A26" s="17" t="s">
        <v>4</v>
      </c>
      <c r="B26" s="37" t="s">
        <v>27</v>
      </c>
      <c r="C26" s="267">
        <v>0.3</v>
      </c>
      <c r="D26" s="39">
        <f>'Memoria de Cálculo'!C6</f>
        <v>458.00400000000002</v>
      </c>
    </row>
    <row r="27" spans="1:5" ht="15" x14ac:dyDescent="0.25">
      <c r="A27" s="17" t="s">
        <v>7</v>
      </c>
      <c r="B27" s="37" t="s">
        <v>28</v>
      </c>
      <c r="C27" s="38"/>
      <c r="D27" s="39"/>
    </row>
    <row r="28" spans="1:5" ht="15" x14ac:dyDescent="0.25">
      <c r="A28" s="17" t="s">
        <v>9</v>
      </c>
      <c r="B28" s="37" t="s">
        <v>29</v>
      </c>
      <c r="C28" s="38"/>
      <c r="D28" s="39"/>
    </row>
    <row r="29" spans="1:5" ht="15" x14ac:dyDescent="0.25">
      <c r="A29" s="17" t="s">
        <v>30</v>
      </c>
      <c r="B29" s="37" t="s">
        <v>31</v>
      </c>
      <c r="C29" s="38"/>
      <c r="D29" s="39"/>
    </row>
    <row r="30" spans="1:5" ht="15" x14ac:dyDescent="0.25">
      <c r="A30" s="17" t="s">
        <v>32</v>
      </c>
      <c r="B30" s="37" t="s">
        <v>34</v>
      </c>
      <c r="C30" s="38"/>
      <c r="D30" s="39"/>
    </row>
    <row r="31" spans="1:5" ht="15" x14ac:dyDescent="0.25">
      <c r="A31" s="307" t="s">
        <v>35</v>
      </c>
      <c r="B31" s="307"/>
      <c r="C31" s="40"/>
      <c r="D31" s="41">
        <f>SUM(D25:D30)</f>
        <v>1984.6840000000002</v>
      </c>
    </row>
    <row r="32" spans="1:5" ht="15" x14ac:dyDescent="0.25">
      <c r="A32" s="42"/>
      <c r="B32" s="43"/>
      <c r="C32" s="44"/>
      <c r="D32" s="45"/>
      <c r="E32" s="46"/>
    </row>
    <row r="33" spans="1:7" ht="15" x14ac:dyDescent="0.25">
      <c r="A33" s="303" t="s">
        <v>36</v>
      </c>
      <c r="B33" s="303"/>
      <c r="C33" s="303"/>
      <c r="D33" s="303"/>
      <c r="E33" s="279"/>
      <c r="F33" s="4"/>
    </row>
    <row r="34" spans="1:7" ht="15" x14ac:dyDescent="0.25">
      <c r="A34" s="310" t="s">
        <v>37</v>
      </c>
      <c r="B34" s="310"/>
      <c r="C34" s="35" t="s">
        <v>24</v>
      </c>
      <c r="D34" s="36" t="s">
        <v>25</v>
      </c>
      <c r="E34" s="279"/>
    </row>
    <row r="35" spans="1:7" ht="15" x14ac:dyDescent="0.25">
      <c r="A35" s="47" t="s">
        <v>2</v>
      </c>
      <c r="B35" s="37" t="s">
        <v>38</v>
      </c>
      <c r="C35" s="38">
        <f>'Memoria de Cálculo'!C23</f>
        <v>8.3333333333333329E-2</v>
      </c>
      <c r="D35" s="39">
        <f>C35*$D$31</f>
        <v>165.39033333333333</v>
      </c>
      <c r="E35" s="281"/>
      <c r="F35" s="4"/>
    </row>
    <row r="36" spans="1:7" ht="15" x14ac:dyDescent="0.25">
      <c r="A36" s="47" t="s">
        <v>4</v>
      </c>
      <c r="B36" s="37" t="s">
        <v>162</v>
      </c>
      <c r="C36" s="38">
        <f>'Memoria de Cálculo'!C24</f>
        <v>2.7777777777777776E-2</v>
      </c>
      <c r="D36" s="39">
        <f>C36*$D$31</f>
        <v>55.130111111111113</v>
      </c>
      <c r="E36" s="279"/>
      <c r="F36" s="4"/>
    </row>
    <row r="37" spans="1:7" ht="15" x14ac:dyDescent="0.25">
      <c r="A37" s="49"/>
      <c r="B37" s="50" t="s">
        <v>39</v>
      </c>
      <c r="C37" s="51">
        <f>C36+C35</f>
        <v>0.1111111111111111</v>
      </c>
      <c r="D37" s="39">
        <f>D36+D35</f>
        <v>220.52044444444445</v>
      </c>
      <c r="E37" s="279"/>
    </row>
    <row r="38" spans="1:7" ht="15" x14ac:dyDescent="0.25">
      <c r="A38" s="47" t="s">
        <v>7</v>
      </c>
      <c r="B38" s="52" t="s">
        <v>40</v>
      </c>
      <c r="C38" s="51">
        <f>C37*C50</f>
        <v>4.4222222222222225E-2</v>
      </c>
      <c r="D38" s="39">
        <f>D37*C50</f>
        <v>87.767136888888913</v>
      </c>
      <c r="E38" s="279"/>
    </row>
    <row r="39" spans="1:7" ht="15" x14ac:dyDescent="0.25">
      <c r="A39" s="307" t="s">
        <v>41</v>
      </c>
      <c r="B39" s="307"/>
      <c r="C39" s="40">
        <f>C38+C37</f>
        <v>0.15533333333333332</v>
      </c>
      <c r="D39" s="53">
        <f>D38+D37</f>
        <v>308.28758133333338</v>
      </c>
      <c r="E39" s="279"/>
    </row>
    <row r="40" spans="1:7" ht="15" x14ac:dyDescent="0.25">
      <c r="A40" s="54"/>
      <c r="B40" s="52"/>
      <c r="C40" s="55"/>
      <c r="D40" s="56"/>
      <c r="E40" s="46"/>
    </row>
    <row r="41" spans="1:7" ht="15" x14ac:dyDescent="0.25">
      <c r="A41" s="310" t="s">
        <v>42</v>
      </c>
      <c r="B41" s="310"/>
      <c r="C41" s="35" t="s">
        <v>24</v>
      </c>
      <c r="D41" s="36" t="s">
        <v>25</v>
      </c>
      <c r="E41" s="279"/>
      <c r="F41" s="57"/>
      <c r="G41" s="58"/>
    </row>
    <row r="42" spans="1:7" ht="15" x14ac:dyDescent="0.25">
      <c r="A42" s="47" t="s">
        <v>2</v>
      </c>
      <c r="B42" s="37" t="s">
        <v>43</v>
      </c>
      <c r="C42" s="38">
        <f>'Memoria de Cálculo'!C30</f>
        <v>0.2</v>
      </c>
      <c r="D42" s="39">
        <f t="shared" ref="D42:D49" si="0">C42*$D$31</f>
        <v>396.93680000000006</v>
      </c>
      <c r="E42" s="279"/>
      <c r="F42" s="59"/>
      <c r="G42" s="58"/>
    </row>
    <row r="43" spans="1:7" ht="15" x14ac:dyDescent="0.25">
      <c r="A43" s="47" t="s">
        <v>4</v>
      </c>
      <c r="B43" s="37" t="s">
        <v>44</v>
      </c>
      <c r="C43" s="38">
        <f>'Memoria de Cálculo'!C31</f>
        <v>2.5000000000000001E-2</v>
      </c>
      <c r="D43" s="39">
        <f t="shared" si="0"/>
        <v>49.617100000000008</v>
      </c>
      <c r="E43" s="279"/>
      <c r="F43" s="57"/>
    </row>
    <row r="44" spans="1:7" ht="15" x14ac:dyDescent="0.25">
      <c r="A44" s="47" t="s">
        <v>7</v>
      </c>
      <c r="B44" s="37" t="s">
        <v>45</v>
      </c>
      <c r="C44" s="38">
        <f>'Memoria de Cálculo'!C32</f>
        <v>0.06</v>
      </c>
      <c r="D44" s="39">
        <f t="shared" si="0"/>
        <v>119.08104</v>
      </c>
      <c r="E44" s="281"/>
      <c r="F44" s="60"/>
    </row>
    <row r="45" spans="1:7" ht="15" x14ac:dyDescent="0.25">
      <c r="A45" s="47" t="s">
        <v>9</v>
      </c>
      <c r="B45" s="37" t="s">
        <v>46</v>
      </c>
      <c r="C45" s="38">
        <f>'Memoria de Cálculo'!C33</f>
        <v>1.4999999999999999E-2</v>
      </c>
      <c r="D45" s="39">
        <f t="shared" si="0"/>
        <v>29.77026</v>
      </c>
      <c r="E45" s="279"/>
    </row>
    <row r="46" spans="1:7" ht="15" x14ac:dyDescent="0.25">
      <c r="A46" s="47" t="s">
        <v>30</v>
      </c>
      <c r="B46" s="37" t="s">
        <v>47</v>
      </c>
      <c r="C46" s="38">
        <f>'Memoria de Cálculo'!C34</f>
        <v>0.01</v>
      </c>
      <c r="D46" s="39">
        <f t="shared" si="0"/>
        <v>19.846840000000004</v>
      </c>
      <c r="E46" s="279"/>
    </row>
    <row r="47" spans="1:7" ht="15" x14ac:dyDescent="0.25">
      <c r="A47" s="47" t="s">
        <v>32</v>
      </c>
      <c r="B47" s="37" t="s">
        <v>48</v>
      </c>
      <c r="C47" s="38">
        <f>'Memoria de Cálculo'!C35</f>
        <v>6.0000000000000001E-3</v>
      </c>
      <c r="D47" s="39">
        <f t="shared" si="0"/>
        <v>11.908104000000002</v>
      </c>
      <c r="E47" s="279"/>
    </row>
    <row r="48" spans="1:7" ht="15" x14ac:dyDescent="0.25">
      <c r="A48" s="47" t="s">
        <v>33</v>
      </c>
      <c r="B48" s="37" t="s">
        <v>49</v>
      </c>
      <c r="C48" s="38">
        <f>'Memoria de Cálculo'!C36</f>
        <v>2E-3</v>
      </c>
      <c r="D48" s="39">
        <f t="shared" si="0"/>
        <v>3.9693680000000007</v>
      </c>
      <c r="E48" s="279"/>
    </row>
    <row r="49" spans="1:6" ht="15" x14ac:dyDescent="0.25">
      <c r="A49" s="47" t="s">
        <v>50</v>
      </c>
      <c r="B49" s="37" t="s">
        <v>51</v>
      </c>
      <c r="C49" s="38">
        <f>'Memoria de Cálculo'!C37</f>
        <v>0.08</v>
      </c>
      <c r="D49" s="39">
        <f t="shared" si="0"/>
        <v>158.77472000000003</v>
      </c>
      <c r="E49" s="279"/>
    </row>
    <row r="50" spans="1:6" ht="15" x14ac:dyDescent="0.25">
      <c r="A50" s="307" t="s">
        <v>52</v>
      </c>
      <c r="B50" s="307"/>
      <c r="C50" s="61">
        <f>SUM(C42:C49)</f>
        <v>0.39800000000000008</v>
      </c>
      <c r="D50" s="62">
        <f>SUM(D42:D49)</f>
        <v>789.90423200000009</v>
      </c>
      <c r="E50" s="48"/>
      <c r="F50" s="63"/>
    </row>
    <row r="51" spans="1:6" ht="15" x14ac:dyDescent="0.25">
      <c r="A51" s="64"/>
      <c r="B51" s="52"/>
      <c r="C51" s="55"/>
      <c r="D51" s="56"/>
      <c r="E51" s="46"/>
    </row>
    <row r="52" spans="1:6" ht="15" x14ac:dyDescent="0.25">
      <c r="A52" s="310" t="s">
        <v>53</v>
      </c>
      <c r="B52" s="310"/>
      <c r="C52" s="51"/>
      <c r="D52" s="36" t="s">
        <v>25</v>
      </c>
      <c r="E52" s="279"/>
    </row>
    <row r="53" spans="1:6" ht="15" x14ac:dyDescent="0.25">
      <c r="A53" s="47" t="s">
        <v>2</v>
      </c>
      <c r="B53" s="37" t="s">
        <v>54</v>
      </c>
      <c r="C53" s="38"/>
      <c r="D53" s="39">
        <f>(4*2*22)-(0.06*D19)</f>
        <v>84.399199999999993</v>
      </c>
      <c r="E53" s="279"/>
    </row>
    <row r="54" spans="1:6" ht="29.25" x14ac:dyDescent="0.25">
      <c r="A54" s="47" t="s">
        <v>4</v>
      </c>
      <c r="B54" s="37" t="s">
        <v>267</v>
      </c>
      <c r="C54" s="38"/>
      <c r="D54" s="39">
        <v>474.53</v>
      </c>
      <c r="E54" s="279"/>
    </row>
    <row r="55" spans="1:6" ht="15" x14ac:dyDescent="0.25">
      <c r="A55" s="47" t="s">
        <v>7</v>
      </c>
      <c r="B55" s="65" t="s">
        <v>268</v>
      </c>
      <c r="C55" s="38"/>
      <c r="D55" s="278">
        <f>'Memoria de Cálculo'!C46</f>
        <v>88</v>
      </c>
      <c r="E55" s="279"/>
    </row>
    <row r="56" spans="1:6" ht="15" x14ac:dyDescent="0.25">
      <c r="A56" s="47" t="s">
        <v>9</v>
      </c>
      <c r="B56" s="37" t="s">
        <v>55</v>
      </c>
      <c r="C56" s="38"/>
      <c r="D56" s="39">
        <f>'Memoria de Cálculo'!C47</f>
        <v>0</v>
      </c>
      <c r="E56" s="279"/>
    </row>
    <row r="57" spans="1:6" ht="15" x14ac:dyDescent="0.25">
      <c r="A57" s="47" t="s">
        <v>30</v>
      </c>
      <c r="B57" s="37" t="s">
        <v>56</v>
      </c>
      <c r="C57" s="38"/>
      <c r="D57" s="278">
        <f>'Memoria de Cálculo'!C48</f>
        <v>15.83</v>
      </c>
      <c r="E57" s="279"/>
    </row>
    <row r="58" spans="1:6" ht="15" x14ac:dyDescent="0.25">
      <c r="A58" s="47" t="s">
        <v>32</v>
      </c>
      <c r="B58" s="37" t="s">
        <v>34</v>
      </c>
      <c r="C58" s="38"/>
      <c r="D58" s="39">
        <f>'Memoria de Cálculo'!C49</f>
        <v>0</v>
      </c>
      <c r="E58" s="279"/>
    </row>
    <row r="59" spans="1:6" ht="15" x14ac:dyDescent="0.25">
      <c r="A59" s="307" t="s">
        <v>57</v>
      </c>
      <c r="B59" s="307"/>
      <c r="C59" s="40"/>
      <c r="D59" s="62">
        <f>SUM(D53:D58)</f>
        <v>662.75919999999996</v>
      </c>
      <c r="E59" s="279"/>
    </row>
    <row r="60" spans="1:6" ht="15" x14ac:dyDescent="0.25">
      <c r="A60" s="64"/>
      <c r="B60" s="52"/>
      <c r="C60" s="55"/>
      <c r="D60" s="56"/>
      <c r="E60" s="46"/>
    </row>
    <row r="61" spans="1:6" ht="15" x14ac:dyDescent="0.25">
      <c r="A61" s="303" t="s">
        <v>58</v>
      </c>
      <c r="B61" s="303"/>
      <c r="C61" s="303"/>
      <c r="D61" s="303"/>
      <c r="E61" s="279"/>
    </row>
    <row r="62" spans="1:6" ht="15" x14ac:dyDescent="0.25">
      <c r="A62" s="49" t="s">
        <v>59</v>
      </c>
      <c r="B62" s="66"/>
      <c r="C62" s="35"/>
      <c r="D62" s="36" t="s">
        <v>25</v>
      </c>
      <c r="E62" s="279"/>
    </row>
    <row r="63" spans="1:6" ht="15" x14ac:dyDescent="0.25">
      <c r="A63" s="47" t="s">
        <v>60</v>
      </c>
      <c r="B63" s="37" t="s">
        <v>61</v>
      </c>
      <c r="C63" s="38"/>
      <c r="D63" s="67">
        <f>D39</f>
        <v>308.28758133333338</v>
      </c>
      <c r="E63" s="279"/>
    </row>
    <row r="64" spans="1:6" ht="15" x14ac:dyDescent="0.25">
      <c r="A64" s="47" t="s">
        <v>62</v>
      </c>
      <c r="B64" s="37" t="s">
        <v>63</v>
      </c>
      <c r="C64" s="38"/>
      <c r="D64" s="67">
        <f>D50</f>
        <v>789.90423200000009</v>
      </c>
      <c r="E64" s="279"/>
    </row>
    <row r="65" spans="1:5" ht="15" x14ac:dyDescent="0.25">
      <c r="A65" s="47" t="s">
        <v>64</v>
      </c>
      <c r="B65" s="37" t="s">
        <v>65</v>
      </c>
      <c r="C65" s="38"/>
      <c r="D65" s="67">
        <f>D59</f>
        <v>662.75919999999996</v>
      </c>
      <c r="E65" s="279"/>
    </row>
    <row r="66" spans="1:5" ht="15" x14ac:dyDescent="0.25">
      <c r="A66" s="307" t="s">
        <v>66</v>
      </c>
      <c r="B66" s="307"/>
      <c r="C66" s="40"/>
      <c r="D66" s="62">
        <f>SUM(D63:D65)</f>
        <v>1760.9510133333333</v>
      </c>
      <c r="E66" s="279"/>
    </row>
    <row r="67" spans="1:5" ht="15" x14ac:dyDescent="0.25">
      <c r="A67" s="68"/>
      <c r="B67" s="52"/>
      <c r="C67" s="55"/>
      <c r="D67" s="56"/>
      <c r="E67" s="46"/>
    </row>
    <row r="68" spans="1:5" ht="15" x14ac:dyDescent="0.25">
      <c r="A68" s="303" t="s">
        <v>67</v>
      </c>
      <c r="B68" s="303"/>
      <c r="C68" s="303"/>
      <c r="D68" s="303"/>
      <c r="E68" s="46"/>
    </row>
    <row r="69" spans="1:5" ht="15" x14ac:dyDescent="0.25">
      <c r="A69" s="310" t="s">
        <v>68</v>
      </c>
      <c r="B69" s="310"/>
      <c r="C69" s="35" t="s">
        <v>24</v>
      </c>
      <c r="D69" s="36" t="s">
        <v>25</v>
      </c>
      <c r="E69" s="46"/>
    </row>
    <row r="70" spans="1:5" ht="15" x14ac:dyDescent="0.25">
      <c r="A70" s="47" t="s">
        <v>2</v>
      </c>
      <c r="B70" s="37" t="s">
        <v>69</v>
      </c>
      <c r="C70" s="69">
        <f>'Memoria de Cálculo'!C54</f>
        <v>8.3333333333333332E-3</v>
      </c>
      <c r="D70" s="39">
        <f>C70*$D$31</f>
        <v>16.539033333333336</v>
      </c>
      <c r="E70" s="279"/>
    </row>
    <row r="71" spans="1:5" ht="15" x14ac:dyDescent="0.25">
      <c r="A71" s="47" t="s">
        <v>4</v>
      </c>
      <c r="B71" s="37" t="s">
        <v>70</v>
      </c>
      <c r="C71" s="69">
        <f>'Memoria de Cálculo'!C55</f>
        <v>6.6666666666666664E-4</v>
      </c>
      <c r="D71" s="39">
        <f>C71*$D$31</f>
        <v>1.3231226666666667</v>
      </c>
      <c r="E71" s="279"/>
    </row>
    <row r="72" spans="1:5" ht="29.25" x14ac:dyDescent="0.25">
      <c r="A72" s="47" t="s">
        <v>7</v>
      </c>
      <c r="B72" s="37" t="s">
        <v>71</v>
      </c>
      <c r="C72" s="69">
        <f>'Memoria de Cálculo'!C56</f>
        <v>5.1111111111111097E-3</v>
      </c>
      <c r="D72" s="39">
        <f>C72*$D$31</f>
        <v>10.143940444444443</v>
      </c>
      <c r="E72" s="46"/>
    </row>
    <row r="73" spans="1:5" ht="15" x14ac:dyDescent="0.25">
      <c r="A73" s="307" t="s">
        <v>72</v>
      </c>
      <c r="B73" s="307"/>
      <c r="C73" s="70">
        <f>SUM(C70:C72)</f>
        <v>1.4111111111111109E-2</v>
      </c>
      <c r="D73" s="62">
        <f>SUM(D70:D72)</f>
        <v>28.006096444444445</v>
      </c>
      <c r="E73" s="46"/>
    </row>
    <row r="74" spans="1:5" ht="15" x14ac:dyDescent="0.25">
      <c r="A74" s="71"/>
      <c r="B74" s="32"/>
      <c r="C74" s="72"/>
      <c r="D74" s="33"/>
      <c r="E74" s="46"/>
    </row>
    <row r="75" spans="1:5" ht="15" x14ac:dyDescent="0.25">
      <c r="A75" s="310" t="s">
        <v>73</v>
      </c>
      <c r="B75" s="310"/>
      <c r="C75" s="35" t="s">
        <v>24</v>
      </c>
      <c r="D75" s="36" t="s">
        <v>25</v>
      </c>
      <c r="E75" s="279"/>
    </row>
    <row r="76" spans="1:5" ht="15" x14ac:dyDescent="0.25">
      <c r="A76" s="47" t="s">
        <v>2</v>
      </c>
      <c r="B76" s="37" t="s">
        <v>74</v>
      </c>
      <c r="C76" s="69">
        <f>'Memoria de Cálculo'!C64</f>
        <v>1.9444444444444445E-2</v>
      </c>
      <c r="D76" s="39">
        <f>C76*$D$31</f>
        <v>38.591077777777784</v>
      </c>
      <c r="E76" s="279"/>
    </row>
    <row r="77" spans="1:5" ht="29.25" x14ac:dyDescent="0.25">
      <c r="A77" s="47" t="s">
        <v>4</v>
      </c>
      <c r="B77" s="37" t="s">
        <v>75</v>
      </c>
      <c r="C77" s="69">
        <f>'Memoria de Cálculo'!C65</f>
        <v>7.7388888888888898E-3</v>
      </c>
      <c r="D77" s="39">
        <f>C77*$D$31</f>
        <v>15.359248955555559</v>
      </c>
      <c r="E77" s="279"/>
    </row>
    <row r="78" spans="1:5" ht="29.25" x14ac:dyDescent="0.25">
      <c r="A78" s="47" t="s">
        <v>7</v>
      </c>
      <c r="B78" s="37" t="s">
        <v>76</v>
      </c>
      <c r="C78" s="69">
        <f>'Memoria de Cálculo'!C66</f>
        <v>4.3000000000000003E-2</v>
      </c>
      <c r="D78" s="39">
        <f>C78*$D$31</f>
        <v>85.34141200000002</v>
      </c>
      <c r="E78" s="46"/>
    </row>
    <row r="79" spans="1:5" ht="15" x14ac:dyDescent="0.25">
      <c r="A79" s="307" t="s">
        <v>77</v>
      </c>
      <c r="B79" s="307"/>
      <c r="C79" s="70">
        <f>SUM(C76:C78)</f>
        <v>7.0183333333333334E-2</v>
      </c>
      <c r="D79" s="62">
        <f>SUM(D76:D78)</f>
        <v>139.29173873333337</v>
      </c>
      <c r="E79" s="46"/>
    </row>
    <row r="80" spans="1:5" ht="15" x14ac:dyDescent="0.25">
      <c r="A80" s="49"/>
      <c r="B80" s="73"/>
      <c r="C80" s="74"/>
      <c r="D80" s="75"/>
      <c r="E80" s="46"/>
    </row>
    <row r="81" spans="1:5" ht="15" x14ac:dyDescent="0.25">
      <c r="A81" s="303" t="s">
        <v>78</v>
      </c>
      <c r="B81" s="303"/>
      <c r="C81" s="303"/>
      <c r="D81" s="303"/>
      <c r="E81" s="279"/>
    </row>
    <row r="82" spans="1:5" ht="15" x14ac:dyDescent="0.25">
      <c r="A82" s="310" t="s">
        <v>79</v>
      </c>
      <c r="B82" s="310"/>
      <c r="C82" s="51"/>
      <c r="D82" s="36" t="s">
        <v>25</v>
      </c>
      <c r="E82" s="279"/>
    </row>
    <row r="83" spans="1:5" ht="15" x14ac:dyDescent="0.25">
      <c r="A83" s="47" t="s">
        <v>80</v>
      </c>
      <c r="B83" s="37" t="s">
        <v>81</v>
      </c>
      <c r="C83" s="38"/>
      <c r="D83" s="67">
        <f>D73</f>
        <v>28.006096444444445</v>
      </c>
      <c r="E83" s="279"/>
    </row>
    <row r="84" spans="1:5" ht="15" x14ac:dyDescent="0.25">
      <c r="A84" s="47" t="s">
        <v>82</v>
      </c>
      <c r="B84" s="37" t="s">
        <v>83</v>
      </c>
      <c r="C84" s="38"/>
      <c r="D84" s="67">
        <f>D79</f>
        <v>139.29173873333337</v>
      </c>
      <c r="E84" s="279"/>
    </row>
    <row r="85" spans="1:5" ht="15" x14ac:dyDescent="0.25">
      <c r="A85" s="310" t="s">
        <v>84</v>
      </c>
      <c r="B85" s="310"/>
      <c r="C85" s="51"/>
      <c r="D85" s="76">
        <f>SUM(D83:D84)</f>
        <v>167.29783517777781</v>
      </c>
      <c r="E85" s="279"/>
    </row>
    <row r="86" spans="1:5" ht="15" x14ac:dyDescent="0.25">
      <c r="A86" s="49"/>
      <c r="B86" s="73"/>
      <c r="C86" s="74"/>
      <c r="D86" s="75"/>
      <c r="E86" s="279"/>
    </row>
    <row r="87" spans="1:5" ht="15" x14ac:dyDescent="0.25">
      <c r="A87" s="303" t="s">
        <v>85</v>
      </c>
      <c r="B87" s="303"/>
      <c r="C87" s="303"/>
      <c r="D87" s="303"/>
      <c r="E87" s="46"/>
    </row>
    <row r="88" spans="1:5" ht="15" x14ac:dyDescent="0.25">
      <c r="A88" s="310" t="s">
        <v>86</v>
      </c>
      <c r="B88" s="310"/>
      <c r="C88" s="35" t="s">
        <v>24</v>
      </c>
      <c r="D88" s="36" t="s">
        <v>25</v>
      </c>
      <c r="E88" s="46"/>
    </row>
    <row r="89" spans="1:5" ht="15" x14ac:dyDescent="0.25">
      <c r="A89" s="17" t="s">
        <v>2</v>
      </c>
      <c r="B89" s="13" t="s">
        <v>87</v>
      </c>
      <c r="C89" s="69">
        <f>'Memoria de Cálculo'!C77</f>
        <v>8.3333333333333329E-2</v>
      </c>
      <c r="D89" s="39">
        <f t="shared" ref="D89:D96" si="1">C89*$D$31</f>
        <v>165.39033333333333</v>
      </c>
      <c r="E89" s="279"/>
    </row>
    <row r="90" spans="1:5" ht="15" x14ac:dyDescent="0.25">
      <c r="A90" s="17" t="s">
        <v>4</v>
      </c>
      <c r="B90" s="13" t="s">
        <v>88</v>
      </c>
      <c r="C90" s="69">
        <f>'Memoria de Cálculo'!C78</f>
        <v>3.3166666666666664E-2</v>
      </c>
      <c r="D90" s="39">
        <f t="shared" si="1"/>
        <v>65.825352666666674</v>
      </c>
      <c r="E90" s="46"/>
    </row>
    <row r="91" spans="1:5" ht="15" x14ac:dyDescent="0.25">
      <c r="A91" s="17" t="s">
        <v>7</v>
      </c>
      <c r="B91" s="13" t="s">
        <v>89</v>
      </c>
      <c r="C91" s="69">
        <f>'Memoria de Cálculo'!C79</f>
        <v>2.7777777777777779E-3</v>
      </c>
      <c r="D91" s="39">
        <f t="shared" si="1"/>
        <v>5.513011111111112</v>
      </c>
      <c r="E91" s="279"/>
    </row>
    <row r="92" spans="1:5" ht="15" x14ac:dyDescent="0.25">
      <c r="A92" s="17" t="s">
        <v>9</v>
      </c>
      <c r="B92" s="13" t="s">
        <v>90</v>
      </c>
      <c r="C92" s="69">
        <f>'Memoria de Cálculo'!C80</f>
        <v>1.1735076103500763E-3</v>
      </c>
      <c r="D92" s="39">
        <f t="shared" si="1"/>
        <v>2.3290417781400312</v>
      </c>
      <c r="E92" s="46"/>
    </row>
    <row r="93" spans="1:5" ht="15" x14ac:dyDescent="0.25">
      <c r="A93" s="17" t="s">
        <v>30</v>
      </c>
      <c r="B93" s="13" t="s">
        <v>91</v>
      </c>
      <c r="C93" s="69">
        <f>'Memoria de Cálculo'!C81</f>
        <v>9.5890410958904115E-3</v>
      </c>
      <c r="D93" s="39">
        <f t="shared" si="1"/>
        <v>19.031216438356168</v>
      </c>
      <c r="E93" s="46"/>
    </row>
    <row r="94" spans="1:5" ht="15" x14ac:dyDescent="0.25">
      <c r="A94" s="17" t="s">
        <v>32</v>
      </c>
      <c r="B94" s="13" t="s">
        <v>92</v>
      </c>
      <c r="C94" s="69">
        <f>'Memoria de Cálculo'!C82</f>
        <v>4.0273972602739732E-4</v>
      </c>
      <c r="D94" s="39">
        <f t="shared" si="1"/>
        <v>0.79931109041095916</v>
      </c>
      <c r="E94" s="46"/>
    </row>
    <row r="95" spans="1:5" ht="15" x14ac:dyDescent="0.25">
      <c r="A95" s="17" t="s">
        <v>33</v>
      </c>
      <c r="B95" s="13" t="s">
        <v>93</v>
      </c>
      <c r="C95" s="69">
        <f>'Memoria de Cálculo'!C83</f>
        <v>4.723561643835617E-3</v>
      </c>
      <c r="D95" s="39">
        <f t="shared" si="1"/>
        <v>9.3747772175342483</v>
      </c>
      <c r="E95" s="46"/>
    </row>
    <row r="96" spans="1:5" ht="15" x14ac:dyDescent="0.25">
      <c r="A96" s="47" t="s">
        <v>50</v>
      </c>
      <c r="B96" s="13" t="s">
        <v>94</v>
      </c>
      <c r="C96" s="69">
        <f>'Memoria de Cálculo'!C84</f>
        <v>9.7168949771689507E-5</v>
      </c>
      <c r="D96" s="39">
        <f t="shared" si="1"/>
        <v>0.19284965990867584</v>
      </c>
      <c r="E96" s="46"/>
    </row>
    <row r="97" spans="1:5" ht="29.25" x14ac:dyDescent="0.25">
      <c r="A97" s="47" t="s">
        <v>95</v>
      </c>
      <c r="B97" s="13" t="s">
        <v>96</v>
      </c>
      <c r="C97" s="69">
        <f>'Memoria de Cálculo'!C85</f>
        <v>7.4679911278538822E-3</v>
      </c>
      <c r="D97" s="39">
        <f>SUM(D89:D95)</f>
        <v>268.26304363555255</v>
      </c>
      <c r="E97" s="46"/>
    </row>
    <row r="98" spans="1:5" ht="15" x14ac:dyDescent="0.25">
      <c r="A98" s="307" t="s">
        <v>97</v>
      </c>
      <c r="B98" s="307"/>
      <c r="C98" s="70">
        <f>SUM(C89:C97)</f>
        <v>0.14273178793150681</v>
      </c>
      <c r="D98" s="62">
        <f>SUM(D89:D97)</f>
        <v>536.71893693101379</v>
      </c>
      <c r="E98" s="46"/>
    </row>
    <row r="99" spans="1:5" ht="15" x14ac:dyDescent="0.25">
      <c r="A99" s="77"/>
      <c r="B99" s="78"/>
      <c r="C99" s="79"/>
      <c r="D99" s="80"/>
      <c r="E99" s="46"/>
    </row>
    <row r="100" spans="1:5" ht="15" x14ac:dyDescent="0.25">
      <c r="A100" s="81"/>
      <c r="B100" s="82"/>
      <c r="C100" s="83"/>
      <c r="D100" s="84"/>
      <c r="E100" s="46"/>
    </row>
    <row r="101" spans="1:5" ht="15" x14ac:dyDescent="0.25">
      <c r="A101" s="310" t="s">
        <v>98</v>
      </c>
      <c r="B101" s="310"/>
      <c r="C101" s="35" t="s">
        <v>24</v>
      </c>
      <c r="D101" s="36" t="s">
        <v>25</v>
      </c>
      <c r="E101" s="279"/>
    </row>
    <row r="102" spans="1:5" ht="15" x14ac:dyDescent="0.25">
      <c r="A102" s="47" t="s">
        <v>2</v>
      </c>
      <c r="B102" s="13" t="s">
        <v>99</v>
      </c>
      <c r="C102" s="69">
        <f>'Memoria de Cálculo'!C98</f>
        <v>0.10227272727272727</v>
      </c>
      <c r="D102" s="85">
        <f>C102*D31</f>
        <v>202.97904545454546</v>
      </c>
      <c r="E102" s="279"/>
    </row>
    <row r="103" spans="1:5" ht="29.25" x14ac:dyDescent="0.25">
      <c r="A103" s="47" t="s">
        <v>4</v>
      </c>
      <c r="B103" s="13" t="s">
        <v>100</v>
      </c>
      <c r="C103" s="69">
        <f>'Memoria de Cálculo'!C99</f>
        <v>4.0704545454545452E-2</v>
      </c>
      <c r="D103" s="39">
        <f>C103*D102</f>
        <v>8.2621697820247935</v>
      </c>
      <c r="E103" s="279"/>
    </row>
    <row r="104" spans="1:5" ht="15" x14ac:dyDescent="0.25">
      <c r="A104" s="310" t="s">
        <v>97</v>
      </c>
      <c r="B104" s="310"/>
      <c r="C104" s="35">
        <f>'Memoria de Cálculo'!C100</f>
        <v>0.14297727272727273</v>
      </c>
      <c r="D104" s="86">
        <f>SUM(D102:D103)</f>
        <v>211.24121523657024</v>
      </c>
      <c r="E104" s="279"/>
    </row>
    <row r="105" spans="1:5" ht="15" x14ac:dyDescent="0.25">
      <c r="A105" s="68"/>
      <c r="B105" s="52"/>
      <c r="C105" s="55"/>
      <c r="D105" s="56"/>
      <c r="E105" s="46"/>
    </row>
    <row r="106" spans="1:5" ht="15" x14ac:dyDescent="0.25">
      <c r="A106" s="303" t="s">
        <v>101</v>
      </c>
      <c r="B106" s="303"/>
      <c r="C106" s="303"/>
      <c r="D106" s="303"/>
      <c r="E106" s="279"/>
    </row>
    <row r="107" spans="1:5" ht="15" x14ac:dyDescent="0.25">
      <c r="A107" s="50" t="s">
        <v>102</v>
      </c>
      <c r="B107" s="66"/>
      <c r="C107" s="51"/>
      <c r="D107" s="36" t="s">
        <v>25</v>
      </c>
      <c r="E107" s="279"/>
    </row>
    <row r="108" spans="1:5" ht="15" x14ac:dyDescent="0.25">
      <c r="A108" s="17" t="s">
        <v>103</v>
      </c>
      <c r="B108" s="37" t="s">
        <v>90</v>
      </c>
      <c r="C108" s="38"/>
      <c r="D108" s="39">
        <f>D98</f>
        <v>536.71893693101379</v>
      </c>
      <c r="E108" s="279"/>
    </row>
    <row r="109" spans="1:5" ht="15" x14ac:dyDescent="0.25">
      <c r="A109" s="17" t="s">
        <v>104</v>
      </c>
      <c r="B109" s="37" t="s">
        <v>105</v>
      </c>
      <c r="C109" s="38"/>
      <c r="D109" s="39">
        <f>D104</f>
        <v>211.24121523657024</v>
      </c>
      <c r="E109" s="279"/>
    </row>
    <row r="110" spans="1:5" ht="15" x14ac:dyDescent="0.25">
      <c r="A110" s="307" t="s">
        <v>106</v>
      </c>
      <c r="B110" s="307"/>
      <c r="C110" s="40"/>
      <c r="D110" s="62">
        <f>SUM(D108:D109)</f>
        <v>747.96015216758406</v>
      </c>
      <c r="E110" s="279"/>
    </row>
    <row r="111" spans="1:5" ht="15" x14ac:dyDescent="0.25">
      <c r="A111" s="68"/>
      <c r="B111" s="52"/>
      <c r="C111" s="55"/>
      <c r="D111" s="56"/>
      <c r="E111" s="46"/>
    </row>
    <row r="112" spans="1:5" ht="15" x14ac:dyDescent="0.25">
      <c r="A112" s="303" t="s">
        <v>107</v>
      </c>
      <c r="B112" s="303"/>
      <c r="C112" s="303"/>
      <c r="D112" s="303"/>
      <c r="E112" s="46"/>
    </row>
    <row r="113" spans="1:6" ht="15" customHeight="1" x14ac:dyDescent="0.25">
      <c r="A113" s="308" t="s">
        <v>108</v>
      </c>
      <c r="B113" s="308"/>
      <c r="C113" s="35"/>
      <c r="D113" s="36" t="s">
        <v>25</v>
      </c>
      <c r="E113" s="46"/>
    </row>
    <row r="114" spans="1:6" ht="15" x14ac:dyDescent="0.25">
      <c r="A114" s="17" t="s">
        <v>2</v>
      </c>
      <c r="B114" s="37" t="s">
        <v>109</v>
      </c>
      <c r="C114" s="38"/>
      <c r="D114" s="39">
        <f>'Memoria de Cálculo'!C106</f>
        <v>26.15</v>
      </c>
      <c r="E114" s="46"/>
    </row>
    <row r="115" spans="1:6" ht="15" x14ac:dyDescent="0.25">
      <c r="A115" s="17" t="s">
        <v>4</v>
      </c>
      <c r="B115" s="37" t="s">
        <v>110</v>
      </c>
      <c r="C115" s="38"/>
      <c r="D115" s="39">
        <f>'Memoria de Cálculo'!C108</f>
        <v>16.760000000000002</v>
      </c>
      <c r="E115" s="46"/>
    </row>
    <row r="116" spans="1:6" ht="15" x14ac:dyDescent="0.25">
      <c r="A116" s="87" t="s">
        <v>7</v>
      </c>
      <c r="B116" s="37" t="s">
        <v>111</v>
      </c>
      <c r="C116" s="38"/>
      <c r="D116" s="39">
        <f>'Memoria de Cálculo'!K108</f>
        <v>29.86</v>
      </c>
      <c r="E116" s="46"/>
    </row>
    <row r="117" spans="1:6" ht="15" x14ac:dyDescent="0.25">
      <c r="A117" s="87" t="s">
        <v>9</v>
      </c>
      <c r="B117" s="37" t="s">
        <v>34</v>
      </c>
      <c r="C117" s="38"/>
      <c r="D117" s="39"/>
      <c r="E117" s="46"/>
    </row>
    <row r="118" spans="1:6" ht="15" customHeight="1" x14ac:dyDescent="0.25">
      <c r="A118" s="309" t="s">
        <v>112</v>
      </c>
      <c r="B118" s="309"/>
      <c r="C118" s="70"/>
      <c r="D118" s="62">
        <f>SUM(D114:D117)</f>
        <v>72.77</v>
      </c>
      <c r="E118" s="46"/>
    </row>
    <row r="119" spans="1:6" ht="15" x14ac:dyDescent="0.25">
      <c r="A119" s="68"/>
      <c r="B119" s="52"/>
      <c r="C119" s="55"/>
      <c r="D119" s="56"/>
      <c r="E119" s="46"/>
    </row>
    <row r="120" spans="1:6" ht="15" x14ac:dyDescent="0.25">
      <c r="A120" s="88"/>
      <c r="B120" s="89" t="s">
        <v>113</v>
      </c>
      <c r="C120" s="90"/>
      <c r="D120" s="91">
        <f>D118+D110+D85+D66+D31</f>
        <v>4733.6630006786954</v>
      </c>
      <c r="E120" s="46"/>
    </row>
    <row r="121" spans="1:6" ht="15" x14ac:dyDescent="0.25">
      <c r="A121" s="54"/>
      <c r="B121" s="52"/>
      <c r="C121" s="55"/>
      <c r="D121" s="56"/>
      <c r="E121" s="46"/>
    </row>
    <row r="122" spans="1:6" ht="15" x14ac:dyDescent="0.25">
      <c r="A122" s="303" t="s">
        <v>114</v>
      </c>
      <c r="B122" s="303"/>
      <c r="C122" s="303"/>
      <c r="D122" s="303"/>
      <c r="E122" s="46"/>
    </row>
    <row r="123" spans="1:6" ht="15" x14ac:dyDescent="0.25">
      <c r="A123" s="17">
        <v>6</v>
      </c>
      <c r="B123" s="34" t="s">
        <v>115</v>
      </c>
      <c r="C123" s="35" t="s">
        <v>24</v>
      </c>
      <c r="D123" s="36" t="s">
        <v>25</v>
      </c>
      <c r="E123" s="46"/>
    </row>
    <row r="124" spans="1:6" ht="15" x14ac:dyDescent="0.25">
      <c r="A124" s="17" t="s">
        <v>2</v>
      </c>
      <c r="B124" s="13" t="s">
        <v>116</v>
      </c>
      <c r="C124" s="14">
        <f>'Memoria de Cálculo'!C121</f>
        <v>7.3300000000000004E-2</v>
      </c>
      <c r="D124" s="24">
        <f>C124*D120</f>
        <v>346.9774979497484</v>
      </c>
      <c r="E124" s="279"/>
    </row>
    <row r="125" spans="1:6" ht="15" x14ac:dyDescent="0.25">
      <c r="A125" s="17" t="s">
        <v>4</v>
      </c>
      <c r="B125" s="13" t="s">
        <v>117</v>
      </c>
      <c r="C125" s="14">
        <f>'Memoria de Cálculo'!C122</f>
        <v>7.8600000000000003E-2</v>
      </c>
      <c r="D125" s="24">
        <f>(D124+D120)*C125</f>
        <v>399.33834319219574</v>
      </c>
      <c r="E125" s="282"/>
    </row>
    <row r="126" spans="1:6" ht="15" x14ac:dyDescent="0.25">
      <c r="A126" s="17" t="s">
        <v>7</v>
      </c>
      <c r="B126" s="34" t="s">
        <v>118</v>
      </c>
      <c r="C126" s="92"/>
      <c r="D126" s="93"/>
    </row>
    <row r="127" spans="1:6" ht="15" x14ac:dyDescent="0.25">
      <c r="A127" s="17"/>
      <c r="B127" s="94" t="s">
        <v>275</v>
      </c>
      <c r="C127" s="14">
        <f>'Memoria de Cálculo'!C124</f>
        <v>9.2499999999999999E-2</v>
      </c>
      <c r="D127" s="24">
        <f>(($D$125+$D$124+$D$120)/(1-SUM($C$127:$C$129))*C127)</f>
        <v>591.13474386986502</v>
      </c>
      <c r="E127" s="282"/>
      <c r="F127" s="95"/>
    </row>
    <row r="128" spans="1:6" ht="15" x14ac:dyDescent="0.25">
      <c r="A128" s="17"/>
      <c r="B128" s="94" t="s">
        <v>119</v>
      </c>
      <c r="C128" s="14">
        <f>'Memoria de Cálculo'!C125</f>
        <v>0</v>
      </c>
      <c r="D128" s="24">
        <f>(($D$125+$D$124+$D$120)/(1-SUM($C$127:$C$129))*C128)</f>
        <v>0</v>
      </c>
      <c r="E128" s="282"/>
    </row>
    <row r="129" spans="1:6" ht="15" x14ac:dyDescent="0.25">
      <c r="A129" s="17"/>
      <c r="B129" s="94" t="s">
        <v>120</v>
      </c>
      <c r="C129" s="14">
        <f>'Memoria de Cálculo'!C126</f>
        <v>0.05</v>
      </c>
      <c r="D129" s="24">
        <f>(($D$125+$D$124+$D$120)/(1-SUM($C$127:$C$129))*C129)</f>
        <v>319.53229398371082</v>
      </c>
      <c r="E129" s="282"/>
    </row>
    <row r="130" spans="1:6" ht="15" x14ac:dyDescent="0.25">
      <c r="A130" s="302" t="s">
        <v>121</v>
      </c>
      <c r="B130" s="302"/>
      <c r="C130" s="96">
        <f>SUM(C124:C129)</f>
        <v>0.2944</v>
      </c>
      <c r="D130" s="97">
        <f>SUM(D124:D129)</f>
        <v>1656.98287899552</v>
      </c>
      <c r="E130" s="282"/>
    </row>
    <row r="131" spans="1:6" ht="15" x14ac:dyDescent="0.25">
      <c r="A131" s="19"/>
      <c r="B131" s="98"/>
      <c r="C131" s="79"/>
      <c r="D131" s="99"/>
      <c r="F131" s="95"/>
    </row>
    <row r="132" spans="1:6" ht="15" x14ac:dyDescent="0.25">
      <c r="A132" s="19"/>
      <c r="B132" s="100"/>
      <c r="C132" s="101"/>
      <c r="D132" s="102"/>
      <c r="F132" s="95"/>
    </row>
    <row r="133" spans="1:6" ht="15" x14ac:dyDescent="0.25">
      <c r="A133" s="303" t="s">
        <v>122</v>
      </c>
      <c r="B133" s="303"/>
      <c r="C133" s="303"/>
      <c r="D133" s="303"/>
    </row>
    <row r="134" spans="1:6" ht="15" x14ac:dyDescent="0.25">
      <c r="A134" s="49" t="s">
        <v>123</v>
      </c>
      <c r="B134" s="103"/>
      <c r="C134" s="92"/>
      <c r="D134" s="36" t="s">
        <v>25</v>
      </c>
      <c r="F134" s="104"/>
    </row>
    <row r="135" spans="1:6" x14ac:dyDescent="0.2">
      <c r="A135" s="105" t="s">
        <v>2</v>
      </c>
      <c r="B135" s="94" t="str">
        <f>A23</f>
        <v>MÓDULO 1 - COMPOSIÇÃO DA REMUNERAÇÃO</v>
      </c>
      <c r="C135" s="14"/>
      <c r="D135" s="67">
        <f>D31</f>
        <v>1984.6840000000002</v>
      </c>
    </row>
    <row r="136" spans="1:6" ht="28.5" customHeight="1" x14ac:dyDescent="0.2">
      <c r="A136" s="105" t="s">
        <v>4</v>
      </c>
      <c r="B136" s="304" t="str">
        <f>A33</f>
        <v>MÓDULO 2 – ENCARGOS E BENEFÍCIOS ANUAIS, MENSAIS E DIÁRIOS</v>
      </c>
      <c r="C136" s="304"/>
      <c r="D136" s="67">
        <f>D66</f>
        <v>1760.9510133333333</v>
      </c>
    </row>
    <row r="137" spans="1:6" x14ac:dyDescent="0.2">
      <c r="A137" s="105" t="s">
        <v>7</v>
      </c>
      <c r="B137" s="94" t="str">
        <f>A68</f>
        <v>MÓDULO 3 – PROVISÃO PARA RESCISÃO</v>
      </c>
      <c r="C137" s="14"/>
      <c r="D137" s="67">
        <f>D85</f>
        <v>167.29783517777781</v>
      </c>
    </row>
    <row r="138" spans="1:6" ht="33" customHeight="1" x14ac:dyDescent="0.2">
      <c r="A138" s="105" t="s">
        <v>9</v>
      </c>
      <c r="B138" s="94" t="str">
        <f>A87</f>
        <v>MÓDULO 4 – CUSTO DE REPOSIÇÃO DO PROFISSIONAL AUSENTE</v>
      </c>
      <c r="C138" s="14"/>
      <c r="D138" s="67">
        <f>D110</f>
        <v>747.96015216758406</v>
      </c>
    </row>
    <row r="139" spans="1:6" ht="26.25" customHeight="1" x14ac:dyDescent="0.2">
      <c r="A139" s="105" t="s">
        <v>30</v>
      </c>
      <c r="B139" s="94" t="str">
        <f>A112</f>
        <v>MÓDULO 5 – INSUMOS DIVERSOS</v>
      </c>
      <c r="C139" s="14"/>
      <c r="D139" s="67">
        <f>D118</f>
        <v>72.77</v>
      </c>
    </row>
    <row r="140" spans="1:6" ht="18" customHeight="1" x14ac:dyDescent="0.25">
      <c r="A140" s="17"/>
      <c r="B140" s="34" t="s">
        <v>124</v>
      </c>
      <c r="C140" s="92"/>
      <c r="D140" s="106">
        <f>SUM(D135:D139)</f>
        <v>4733.6630006786963</v>
      </c>
    </row>
    <row r="141" spans="1:6" ht="18" customHeight="1" x14ac:dyDescent="0.2">
      <c r="A141" s="12" t="s">
        <v>32</v>
      </c>
      <c r="B141" s="13" t="str">
        <f>A122</f>
        <v>MÓDULO 6 – CUSTOS INDIRETOS, TRIBUTOS E LUCRO</v>
      </c>
      <c r="C141" s="14"/>
      <c r="D141" s="39">
        <f>D130</f>
        <v>1656.98287899552</v>
      </c>
    </row>
    <row r="142" spans="1:6" ht="17.25" customHeight="1" x14ac:dyDescent="0.2">
      <c r="A142" s="305" t="s">
        <v>125</v>
      </c>
      <c r="B142" s="305"/>
      <c r="C142" s="305"/>
      <c r="D142" s="107">
        <f>ROUND(D141+D140,2)</f>
        <v>6390.65</v>
      </c>
    </row>
    <row r="143" spans="1:6" ht="13.15" customHeight="1" x14ac:dyDescent="0.2"/>
    <row r="144" spans="1:6" ht="13.15" customHeight="1" x14ac:dyDescent="0.2">
      <c r="A144" s="19"/>
      <c r="B144" s="28" t="s">
        <v>126</v>
      </c>
      <c r="C144" s="29"/>
      <c r="D144" s="30"/>
    </row>
    <row r="145" spans="1:7" ht="20.25" customHeight="1" x14ac:dyDescent="0.2">
      <c r="A145" s="306" t="s">
        <v>127</v>
      </c>
      <c r="B145" s="306"/>
      <c r="C145" s="306"/>
      <c r="D145" s="306"/>
      <c r="E145" s="306"/>
      <c r="F145" s="306"/>
      <c r="G145" s="306"/>
    </row>
    <row r="146" spans="1:7" ht="69" customHeight="1" x14ac:dyDescent="0.2">
      <c r="A146" s="108"/>
      <c r="B146" s="109" t="s">
        <v>128</v>
      </c>
      <c r="C146" s="110" t="s">
        <v>129</v>
      </c>
      <c r="D146" s="111" t="s">
        <v>130</v>
      </c>
      <c r="E146" s="110" t="s">
        <v>131</v>
      </c>
      <c r="F146" s="110" t="s">
        <v>132</v>
      </c>
      <c r="G146" s="112" t="s">
        <v>133</v>
      </c>
    </row>
    <row r="147" spans="1:7" ht="38.25" customHeight="1" x14ac:dyDescent="0.2">
      <c r="A147" s="108"/>
      <c r="B147" s="113" t="s">
        <v>134</v>
      </c>
      <c r="C147" s="114">
        <f>D142</f>
        <v>6390.65</v>
      </c>
      <c r="D147" s="115">
        <v>2</v>
      </c>
      <c r="E147" s="114">
        <f>C147*D147</f>
        <v>12781.3</v>
      </c>
      <c r="F147" s="293">
        <v>57</v>
      </c>
      <c r="G147" s="114">
        <f>E147*F147</f>
        <v>728534.1</v>
      </c>
    </row>
    <row r="148" spans="1:7" ht="30" customHeight="1" x14ac:dyDescent="0.2">
      <c r="A148" s="27"/>
      <c r="B148" s="116"/>
      <c r="C148" s="117"/>
      <c r="D148" s="299" t="s">
        <v>135</v>
      </c>
      <c r="E148" s="299"/>
      <c r="F148" s="299"/>
      <c r="G148" s="118">
        <f>G147</f>
        <v>728534.1</v>
      </c>
    </row>
    <row r="149" spans="1:7" ht="13.9" customHeight="1" x14ac:dyDescent="0.2"/>
    <row r="150" spans="1:7" ht="15" customHeight="1" x14ac:dyDescent="0.2">
      <c r="A150" s="300" t="s">
        <v>136</v>
      </c>
      <c r="B150" s="300"/>
      <c r="C150" s="300"/>
      <c r="D150" s="119"/>
    </row>
    <row r="151" spans="1:7" ht="15" customHeight="1" x14ac:dyDescent="0.25">
      <c r="A151" s="301" t="s">
        <v>137</v>
      </c>
      <c r="B151" s="301"/>
      <c r="C151" s="301"/>
      <c r="D151" s="120"/>
    </row>
    <row r="152" spans="1:7" ht="20.100000000000001" customHeight="1" x14ac:dyDescent="0.25">
      <c r="A152" s="121"/>
      <c r="B152" s="122" t="s">
        <v>138</v>
      </c>
      <c r="C152" s="123" t="s">
        <v>139</v>
      </c>
      <c r="D152" s="120"/>
      <c r="F152" s="297"/>
    </row>
    <row r="153" spans="1:7" ht="20.25" customHeight="1" x14ac:dyDescent="0.2">
      <c r="A153" s="124" t="s">
        <v>2</v>
      </c>
      <c r="B153" s="125" t="s">
        <v>140</v>
      </c>
      <c r="C153" s="294">
        <f>E147</f>
        <v>12781.3</v>
      </c>
      <c r="D153" s="119"/>
    </row>
    <row r="154" spans="1:7" ht="21" customHeight="1" x14ac:dyDescent="0.2">
      <c r="A154" s="126" t="s">
        <v>4</v>
      </c>
      <c r="B154" s="127" t="s">
        <v>141</v>
      </c>
      <c r="C154" s="295">
        <f>G147</f>
        <v>728534.1</v>
      </c>
      <c r="D154" s="119"/>
    </row>
    <row r="155" spans="1:7" ht="27.75" customHeight="1" x14ac:dyDescent="0.2">
      <c r="A155" s="128" t="s">
        <v>7</v>
      </c>
      <c r="B155" s="129" t="s">
        <v>142</v>
      </c>
      <c r="C155" s="296">
        <f>C154*12</f>
        <v>8742409.1999999993</v>
      </c>
      <c r="D155" s="119"/>
    </row>
    <row r="156" spans="1:7" ht="13.15" customHeight="1" x14ac:dyDescent="0.2">
      <c r="A156" s="19"/>
      <c r="D156" s="48"/>
    </row>
    <row r="157" spans="1:7" ht="19.149999999999999" customHeight="1" x14ac:dyDescent="0.25">
      <c r="B157" s="130"/>
      <c r="C157" s="131"/>
    </row>
    <row r="160" spans="1:7" x14ac:dyDescent="0.2">
      <c r="A160" s="63"/>
    </row>
    <row r="161" spans="1:1" x14ac:dyDescent="0.2">
      <c r="A161" s="63"/>
    </row>
  </sheetData>
  <mergeCells count="43">
    <mergeCell ref="A2:B2"/>
    <mergeCell ref="C2:D2"/>
    <mergeCell ref="A4:D4"/>
    <mergeCell ref="A10:D10"/>
    <mergeCell ref="A16:D16"/>
    <mergeCell ref="A23:D23"/>
    <mergeCell ref="A31:B31"/>
    <mergeCell ref="A33:D33"/>
    <mergeCell ref="A34:B34"/>
    <mergeCell ref="A39:B39"/>
    <mergeCell ref="A41:B41"/>
    <mergeCell ref="A50:B50"/>
    <mergeCell ref="A52:B52"/>
    <mergeCell ref="A59:B59"/>
    <mergeCell ref="A61:D61"/>
    <mergeCell ref="A66:B66"/>
    <mergeCell ref="A68:D68"/>
    <mergeCell ref="A69:B69"/>
    <mergeCell ref="A73:B73"/>
    <mergeCell ref="A75:B75"/>
    <mergeCell ref="A79:B79"/>
    <mergeCell ref="A81:D81"/>
    <mergeCell ref="A82:B82"/>
    <mergeCell ref="A85:B85"/>
    <mergeCell ref="A87:D87"/>
    <mergeCell ref="A88:B88"/>
    <mergeCell ref="A98:B98"/>
    <mergeCell ref="A101:B101"/>
    <mergeCell ref="A104:B104"/>
    <mergeCell ref="A106:D106"/>
    <mergeCell ref="A110:B110"/>
    <mergeCell ref="A112:D112"/>
    <mergeCell ref="A113:B113"/>
    <mergeCell ref="A118:B118"/>
    <mergeCell ref="A122:D122"/>
    <mergeCell ref="D148:F148"/>
    <mergeCell ref="A150:C150"/>
    <mergeCell ref="A151:C151"/>
    <mergeCell ref="A130:B130"/>
    <mergeCell ref="A133:D133"/>
    <mergeCell ref="B136:C136"/>
    <mergeCell ref="A142:C142"/>
    <mergeCell ref="A145:G145"/>
  </mergeCells>
  <pageMargins left="0.39374999999999999" right="0.196527777777778" top="0.59027777777777801" bottom="0.39374999999999999" header="0.511811023622047" footer="0.511811023622047"/>
  <pageSetup paperSize="9" scale="65" orientation="portrait" horizontalDpi="300" verticalDpi="300" r:id="rId1"/>
  <rowBreaks count="1" manualBreakCount="1"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MJ163"/>
  <sheetViews>
    <sheetView tabSelected="1" view="pageBreakPreview" topLeftCell="A78" zoomScale="90" zoomScaleNormal="90" zoomScalePageLayoutView="90" workbookViewId="0">
      <selection activeCell="D118" sqref="D118"/>
    </sheetView>
  </sheetViews>
  <sheetFormatPr defaultColWidth="9.140625" defaultRowHeight="14.25" x14ac:dyDescent="0.2"/>
  <cols>
    <col min="1" max="1" width="3.42578125" style="1" customWidth="1"/>
    <col min="2" max="2" width="64.28515625" style="2" customWidth="1"/>
    <col min="3" max="3" width="18.28515625" style="3" customWidth="1"/>
    <col min="4" max="4" width="26.7109375" style="4" customWidth="1"/>
    <col min="5" max="5" width="13.7109375" style="1" customWidth="1"/>
    <col min="6" max="6" width="18.85546875" style="1" customWidth="1"/>
    <col min="7" max="7" width="15.85546875" style="1" customWidth="1"/>
    <col min="8" max="1024" width="9.140625" style="1"/>
  </cols>
  <sheetData>
    <row r="1" spans="1:6" x14ac:dyDescent="0.2">
      <c r="A1" s="5"/>
      <c r="C1" s="6"/>
      <c r="D1" s="7"/>
    </row>
    <row r="2" spans="1:6" ht="15" x14ac:dyDescent="0.25">
      <c r="A2" s="311" t="s">
        <v>0</v>
      </c>
      <c r="B2" s="311"/>
      <c r="C2" s="312" t="str">
        <f>'Memoria de Cálculo'!A9</f>
        <v>VIGILÂNCIA ARMADA NOTURNA 12x36</v>
      </c>
      <c r="D2" s="312"/>
    </row>
    <row r="3" spans="1:6" x14ac:dyDescent="0.2">
      <c r="A3" s="8"/>
      <c r="B3" s="9"/>
      <c r="C3" s="10"/>
      <c r="D3" s="11"/>
    </row>
    <row r="4" spans="1:6" ht="15" x14ac:dyDescent="0.25">
      <c r="A4" s="303" t="s">
        <v>1</v>
      </c>
      <c r="B4" s="303"/>
      <c r="C4" s="303"/>
      <c r="D4" s="303"/>
    </row>
    <row r="5" spans="1:6" x14ac:dyDescent="0.2">
      <c r="A5" s="12" t="s">
        <v>2</v>
      </c>
      <c r="B5" s="13" t="s">
        <v>3</v>
      </c>
      <c r="C5" s="14"/>
      <c r="D5" s="15"/>
    </row>
    <row r="6" spans="1:6" ht="15" x14ac:dyDescent="0.25">
      <c r="A6" s="12" t="s">
        <v>4</v>
      </c>
      <c r="B6" s="13" t="s">
        <v>5</v>
      </c>
      <c r="C6" s="14"/>
      <c r="D6" s="36" t="s">
        <v>6</v>
      </c>
    </row>
    <row r="7" spans="1:6" ht="15" x14ac:dyDescent="0.25">
      <c r="A7" s="12" t="s">
        <v>7</v>
      </c>
      <c r="B7" s="13" t="s">
        <v>8</v>
      </c>
      <c r="C7" s="14"/>
      <c r="D7" s="17" t="s">
        <v>143</v>
      </c>
    </row>
    <row r="8" spans="1:6" x14ac:dyDescent="0.2">
      <c r="A8" s="12" t="s">
        <v>9</v>
      </c>
      <c r="B8" s="13" t="s">
        <v>10</v>
      </c>
      <c r="C8" s="14"/>
      <c r="D8" s="18">
        <v>12</v>
      </c>
    </row>
    <row r="9" spans="1:6" x14ac:dyDescent="0.2">
      <c r="A9" s="19"/>
      <c r="B9" s="20"/>
      <c r="C9" s="21"/>
      <c r="D9" s="22"/>
    </row>
    <row r="10" spans="1:6" ht="15" x14ac:dyDescent="0.25">
      <c r="A10" s="303" t="s">
        <v>11</v>
      </c>
      <c r="B10" s="303"/>
      <c r="C10" s="303"/>
      <c r="D10" s="303"/>
    </row>
    <row r="11" spans="1:6" x14ac:dyDescent="0.2">
      <c r="A11" s="23"/>
      <c r="B11" s="31" t="s">
        <v>248</v>
      </c>
      <c r="C11" s="14"/>
      <c r="D11" s="16" t="s">
        <v>16</v>
      </c>
    </row>
    <row r="12" spans="1:6" x14ac:dyDescent="0.2">
      <c r="A12" s="23"/>
      <c r="B12" s="31" t="s">
        <v>12</v>
      </c>
      <c r="C12" s="14"/>
      <c r="D12" s="16" t="s">
        <v>245</v>
      </c>
    </row>
    <row r="13" spans="1:6" ht="16.5" x14ac:dyDescent="0.3">
      <c r="A13" s="23"/>
      <c r="B13" s="31" t="s">
        <v>144</v>
      </c>
      <c r="C13" s="14"/>
      <c r="D13" s="280">
        <v>57</v>
      </c>
      <c r="F13" s="132"/>
    </row>
    <row r="14" spans="1:6" x14ac:dyDescent="0.2">
      <c r="A14" s="27"/>
      <c r="B14" s="28"/>
      <c r="C14" s="29"/>
      <c r="D14" s="30"/>
      <c r="F14" s="133"/>
    </row>
    <row r="15" spans="1:6" x14ac:dyDescent="0.2">
      <c r="A15" s="19"/>
      <c r="B15" s="20"/>
      <c r="C15" s="21"/>
      <c r="D15" s="22"/>
    </row>
    <row r="16" spans="1:6" ht="15" x14ac:dyDescent="0.25">
      <c r="A16" s="303" t="s">
        <v>14</v>
      </c>
      <c r="B16" s="303"/>
      <c r="C16" s="303"/>
      <c r="D16" s="303"/>
    </row>
    <row r="17" spans="1:5" x14ac:dyDescent="0.2">
      <c r="A17" s="12">
        <v>1</v>
      </c>
      <c r="B17" s="13" t="s">
        <v>15</v>
      </c>
      <c r="C17" s="14"/>
      <c r="D17" s="134" t="s">
        <v>16</v>
      </c>
    </row>
    <row r="18" spans="1:5" x14ac:dyDescent="0.2">
      <c r="A18" s="12">
        <v>2</v>
      </c>
      <c r="B18" s="13" t="s">
        <v>17</v>
      </c>
      <c r="C18" s="14"/>
      <c r="D18" s="16" t="s">
        <v>18</v>
      </c>
    </row>
    <row r="19" spans="1:5" x14ac:dyDescent="0.2">
      <c r="A19" s="12">
        <v>3</v>
      </c>
      <c r="B19" s="13" t="s">
        <v>19</v>
      </c>
      <c r="C19" s="14"/>
      <c r="D19" s="16">
        <f>'Memoria de Cálculo'!C12</f>
        <v>1526.68</v>
      </c>
    </row>
    <row r="20" spans="1:5" x14ac:dyDescent="0.2">
      <c r="A20" s="12">
        <v>4</v>
      </c>
      <c r="B20" s="13" t="s">
        <v>20</v>
      </c>
      <c r="C20" s="14"/>
      <c r="D20" s="16" t="s">
        <v>249</v>
      </c>
    </row>
    <row r="21" spans="1:5" x14ac:dyDescent="0.2">
      <c r="A21" s="12">
        <v>5</v>
      </c>
      <c r="B21" s="13" t="s">
        <v>21</v>
      </c>
      <c r="C21" s="14"/>
      <c r="D21" s="15">
        <v>44562</v>
      </c>
    </row>
    <row r="22" spans="1:5" x14ac:dyDescent="0.2">
      <c r="A22" s="31"/>
      <c r="B22" s="32"/>
      <c r="C22" s="14"/>
      <c r="D22" s="33"/>
    </row>
    <row r="23" spans="1:5" ht="15" x14ac:dyDescent="0.25">
      <c r="A23" s="303" t="s">
        <v>22</v>
      </c>
      <c r="B23" s="303"/>
      <c r="C23" s="303"/>
      <c r="D23" s="303"/>
    </row>
    <row r="24" spans="1:5" ht="15" x14ac:dyDescent="0.25">
      <c r="A24" s="17">
        <v>1</v>
      </c>
      <c r="B24" s="34" t="s">
        <v>23</v>
      </c>
      <c r="C24" s="35" t="s">
        <v>24</v>
      </c>
      <c r="D24" s="36" t="s">
        <v>25</v>
      </c>
    </row>
    <row r="25" spans="1:5" ht="15" x14ac:dyDescent="0.25">
      <c r="A25" s="17" t="s">
        <v>2</v>
      </c>
      <c r="B25" s="37" t="s">
        <v>26</v>
      </c>
      <c r="C25" s="38"/>
      <c r="D25" s="39">
        <f>D19</f>
        <v>1526.68</v>
      </c>
    </row>
    <row r="26" spans="1:5" ht="15" x14ac:dyDescent="0.25">
      <c r="A26" s="17" t="s">
        <v>4</v>
      </c>
      <c r="B26" s="37" t="s">
        <v>27</v>
      </c>
      <c r="C26" s="38"/>
      <c r="D26" s="39">
        <f>'Memoria de Cálculo'!C13</f>
        <v>458.00400000000002</v>
      </c>
    </row>
    <row r="27" spans="1:5" ht="15" x14ac:dyDescent="0.25">
      <c r="A27" s="17" t="s">
        <v>7</v>
      </c>
      <c r="B27" s="37" t="s">
        <v>28</v>
      </c>
      <c r="C27" s="38"/>
      <c r="D27" s="39"/>
    </row>
    <row r="28" spans="1:5" ht="15" x14ac:dyDescent="0.25">
      <c r="A28" s="17" t="s">
        <v>9</v>
      </c>
      <c r="B28" s="37" t="s">
        <v>29</v>
      </c>
      <c r="C28" s="38"/>
      <c r="D28" s="39">
        <f>'Memoria de Cálculo'!C14</f>
        <v>392.97</v>
      </c>
    </row>
    <row r="29" spans="1:5" ht="15" x14ac:dyDescent="0.25">
      <c r="A29" s="17" t="s">
        <v>30</v>
      </c>
      <c r="B29" s="37" t="s">
        <v>31</v>
      </c>
      <c r="C29" s="38"/>
      <c r="D29" s="39">
        <f>'Memoria de Cálculo'!C15</f>
        <v>341.37</v>
      </c>
    </row>
    <row r="30" spans="1:5" ht="15" x14ac:dyDescent="0.25">
      <c r="A30" s="17" t="s">
        <v>32</v>
      </c>
      <c r="B30" s="37" t="s">
        <v>34</v>
      </c>
      <c r="C30" s="38"/>
      <c r="D30" s="39"/>
    </row>
    <row r="31" spans="1:5" ht="15" x14ac:dyDescent="0.25">
      <c r="A31" s="318" t="s">
        <v>35</v>
      </c>
      <c r="B31" s="318"/>
      <c r="C31" s="135"/>
      <c r="D31" s="136">
        <f>SUM(D25:D30)</f>
        <v>2719.0240000000003</v>
      </c>
    </row>
    <row r="32" spans="1:5" ht="15" x14ac:dyDescent="0.25">
      <c r="A32" s="42"/>
      <c r="B32" s="43"/>
      <c r="C32" s="44"/>
      <c r="D32" s="45"/>
      <c r="E32" s="46"/>
    </row>
    <row r="33" spans="1:7" ht="15" x14ac:dyDescent="0.25">
      <c r="A33" s="303" t="s">
        <v>36</v>
      </c>
      <c r="B33" s="303"/>
      <c r="C33" s="303"/>
      <c r="D33" s="303"/>
      <c r="E33" s="279"/>
      <c r="F33" s="4"/>
    </row>
    <row r="34" spans="1:7" ht="15" x14ac:dyDescent="0.25">
      <c r="A34" s="310" t="s">
        <v>37</v>
      </c>
      <c r="B34" s="310"/>
      <c r="C34" s="35" t="s">
        <v>24</v>
      </c>
      <c r="D34" s="36" t="s">
        <v>25</v>
      </c>
      <c r="E34" s="279"/>
    </row>
    <row r="35" spans="1:7" ht="15" x14ac:dyDescent="0.25">
      <c r="A35" s="47" t="s">
        <v>2</v>
      </c>
      <c r="B35" s="37" t="s">
        <v>38</v>
      </c>
      <c r="C35" s="38">
        <f>'Memoria de Cálculo'!C23</f>
        <v>8.3333333333333329E-2</v>
      </c>
      <c r="D35" s="39">
        <f>C35*$D$31</f>
        <v>226.58533333333335</v>
      </c>
      <c r="E35" s="281"/>
      <c r="F35" s="4"/>
    </row>
    <row r="36" spans="1:7" ht="15" x14ac:dyDescent="0.25">
      <c r="A36" s="47" t="s">
        <v>4</v>
      </c>
      <c r="B36" s="37" t="s">
        <v>162</v>
      </c>
      <c r="C36" s="38">
        <f>'Memoria de Cálculo'!C24</f>
        <v>2.7777777777777776E-2</v>
      </c>
      <c r="D36" s="39">
        <f>C36*$D$31</f>
        <v>75.528444444444446</v>
      </c>
      <c r="E36" s="279"/>
      <c r="F36" s="4"/>
    </row>
    <row r="37" spans="1:7" ht="15" x14ac:dyDescent="0.25">
      <c r="A37" s="49"/>
      <c r="B37" s="50" t="s">
        <v>39</v>
      </c>
      <c r="C37" s="51">
        <f>C36+C35</f>
        <v>0.1111111111111111</v>
      </c>
      <c r="D37" s="39">
        <f>D36+D35</f>
        <v>302.11377777777778</v>
      </c>
      <c r="E37" s="279"/>
    </row>
    <row r="38" spans="1:7" ht="20.25" customHeight="1" x14ac:dyDescent="0.2">
      <c r="A38" s="137" t="s">
        <v>7</v>
      </c>
      <c r="B38" s="138" t="s">
        <v>40</v>
      </c>
      <c r="C38" s="139">
        <f>C37*C50</f>
        <v>4.4222222222222225E-2</v>
      </c>
      <c r="D38" s="140">
        <f>D37*C50</f>
        <v>120.24128355555558</v>
      </c>
      <c r="E38" s="279"/>
    </row>
    <row r="39" spans="1:7" ht="15" x14ac:dyDescent="0.25">
      <c r="A39" s="318" t="s">
        <v>41</v>
      </c>
      <c r="B39" s="318"/>
      <c r="C39" s="135">
        <f>C38+C37</f>
        <v>0.15533333333333332</v>
      </c>
      <c r="D39" s="136">
        <f>D38+D37</f>
        <v>422.35506133333337</v>
      </c>
      <c r="E39" s="279"/>
    </row>
    <row r="40" spans="1:7" ht="15" x14ac:dyDescent="0.25">
      <c r="A40" s="54"/>
      <c r="B40" s="52"/>
      <c r="C40" s="55"/>
      <c r="D40" s="56"/>
      <c r="E40" s="46"/>
    </row>
    <row r="41" spans="1:7" ht="15" x14ac:dyDescent="0.25">
      <c r="A41" s="310" t="s">
        <v>42</v>
      </c>
      <c r="B41" s="310"/>
      <c r="C41" s="35" t="s">
        <v>24</v>
      </c>
      <c r="D41" s="36" t="s">
        <v>25</v>
      </c>
      <c r="E41" s="279"/>
      <c r="F41" s="57"/>
      <c r="G41" s="58"/>
    </row>
    <row r="42" spans="1:7" ht="15" x14ac:dyDescent="0.25">
      <c r="A42" s="47" t="s">
        <v>2</v>
      </c>
      <c r="B42" s="37" t="s">
        <v>43</v>
      </c>
      <c r="C42" s="141">
        <f>'Memoria de Cálculo'!C30</f>
        <v>0.2</v>
      </c>
      <c r="D42" s="39">
        <f t="shared" ref="D42:D49" si="0">C42*$D$31</f>
        <v>543.80480000000011</v>
      </c>
      <c r="E42" s="279"/>
      <c r="F42" s="59"/>
      <c r="G42" s="58"/>
    </row>
    <row r="43" spans="1:7" ht="15" x14ac:dyDescent="0.25">
      <c r="A43" s="47" t="s">
        <v>4</v>
      </c>
      <c r="B43" s="37" t="s">
        <v>44</v>
      </c>
      <c r="C43" s="141">
        <f>'Memoria de Cálculo'!C31</f>
        <v>2.5000000000000001E-2</v>
      </c>
      <c r="D43" s="39">
        <f t="shared" si="0"/>
        <v>67.975600000000014</v>
      </c>
      <c r="E43" s="279"/>
      <c r="F43" s="57"/>
    </row>
    <row r="44" spans="1:7" ht="15" x14ac:dyDescent="0.25">
      <c r="A44" s="47" t="s">
        <v>7</v>
      </c>
      <c r="B44" s="37" t="s">
        <v>45</v>
      </c>
      <c r="C44" s="141">
        <f>'Memoria de Cálculo'!C32</f>
        <v>0.06</v>
      </c>
      <c r="D44" s="39">
        <f t="shared" si="0"/>
        <v>163.14144000000002</v>
      </c>
      <c r="E44" s="281"/>
      <c r="F44" s="60"/>
    </row>
    <row r="45" spans="1:7" ht="15" x14ac:dyDescent="0.25">
      <c r="A45" s="47" t="s">
        <v>9</v>
      </c>
      <c r="B45" s="37" t="s">
        <v>46</v>
      </c>
      <c r="C45" s="141">
        <f>'Memoria de Cálculo'!C33</f>
        <v>1.4999999999999999E-2</v>
      </c>
      <c r="D45" s="39">
        <f t="shared" si="0"/>
        <v>40.785360000000004</v>
      </c>
      <c r="E45" s="279"/>
    </row>
    <row r="46" spans="1:7" ht="15" x14ac:dyDescent="0.25">
      <c r="A46" s="47" t="s">
        <v>30</v>
      </c>
      <c r="B46" s="37" t="s">
        <v>47</v>
      </c>
      <c r="C46" s="141">
        <f>'Memoria de Cálculo'!C34</f>
        <v>0.01</v>
      </c>
      <c r="D46" s="39">
        <f t="shared" si="0"/>
        <v>27.190240000000003</v>
      </c>
      <c r="E46" s="279"/>
    </row>
    <row r="47" spans="1:7" ht="15" x14ac:dyDescent="0.25">
      <c r="A47" s="47" t="s">
        <v>32</v>
      </c>
      <c r="B47" s="37" t="s">
        <v>48</v>
      </c>
      <c r="C47" s="141">
        <f>'Memoria de Cálculo'!C35</f>
        <v>6.0000000000000001E-3</v>
      </c>
      <c r="D47" s="39">
        <f t="shared" si="0"/>
        <v>16.314144000000002</v>
      </c>
      <c r="E47" s="279"/>
    </row>
    <row r="48" spans="1:7" ht="15" x14ac:dyDescent="0.25">
      <c r="A48" s="47" t="s">
        <v>33</v>
      </c>
      <c r="B48" s="37" t="s">
        <v>49</v>
      </c>
      <c r="C48" s="141">
        <f>'Memoria de Cálculo'!C36</f>
        <v>2E-3</v>
      </c>
      <c r="D48" s="39">
        <f t="shared" si="0"/>
        <v>5.4380480000000011</v>
      </c>
      <c r="E48" s="279"/>
    </row>
    <row r="49" spans="1:6" ht="15" x14ac:dyDescent="0.25">
      <c r="A49" s="47" t="s">
        <v>50</v>
      </c>
      <c r="B49" s="37" t="s">
        <v>51</v>
      </c>
      <c r="C49" s="141">
        <f>'Memoria de Cálculo'!C37</f>
        <v>0.08</v>
      </c>
      <c r="D49" s="39">
        <f t="shared" si="0"/>
        <v>217.52192000000002</v>
      </c>
      <c r="E49" s="279"/>
    </row>
    <row r="50" spans="1:6" ht="15" x14ac:dyDescent="0.25">
      <c r="A50" s="319" t="s">
        <v>52</v>
      </c>
      <c r="B50" s="319"/>
      <c r="C50" s="142">
        <f>SUM(C42:C49)</f>
        <v>0.39800000000000008</v>
      </c>
      <c r="D50" s="143">
        <f>SUM(D42:D49)</f>
        <v>1082.1715520000002</v>
      </c>
      <c r="E50" s="281"/>
      <c r="F50" s="63"/>
    </row>
    <row r="51" spans="1:6" ht="15" x14ac:dyDescent="0.25">
      <c r="A51" s="64"/>
      <c r="B51" s="52"/>
      <c r="C51" s="55"/>
      <c r="D51" s="56"/>
      <c r="E51" s="279"/>
    </row>
    <row r="52" spans="1:6" ht="15" x14ac:dyDescent="0.25">
      <c r="A52" s="310" t="s">
        <v>53</v>
      </c>
      <c r="B52" s="310"/>
      <c r="C52" s="51"/>
      <c r="D52" s="36" t="s">
        <v>25</v>
      </c>
      <c r="E52" s="279"/>
    </row>
    <row r="53" spans="1:6" ht="15" x14ac:dyDescent="0.25">
      <c r="A53" s="47" t="s">
        <v>2</v>
      </c>
      <c r="B53" s="37" t="s">
        <v>145</v>
      </c>
      <c r="C53" s="38"/>
      <c r="D53" s="39">
        <f>(4*2*22)-(0.06*D19)</f>
        <v>84.399199999999993</v>
      </c>
      <c r="E53" s="279"/>
    </row>
    <row r="54" spans="1:6" ht="15" x14ac:dyDescent="0.25">
      <c r="A54" s="47" t="s">
        <v>4</v>
      </c>
      <c r="B54" s="37" t="s">
        <v>146</v>
      </c>
      <c r="C54" s="38"/>
      <c r="D54" s="39">
        <v>474.53</v>
      </c>
      <c r="E54" s="279"/>
    </row>
    <row r="55" spans="1:6" ht="15" x14ac:dyDescent="0.2">
      <c r="A55" s="137" t="s">
        <v>7</v>
      </c>
      <c r="B55" s="37" t="s">
        <v>288</v>
      </c>
      <c r="C55" s="38"/>
      <c r="D55" s="277">
        <f>'Memoria de Cálculo'!C46</f>
        <v>88</v>
      </c>
      <c r="E55" s="279"/>
    </row>
    <row r="56" spans="1:6" ht="15" x14ac:dyDescent="0.25">
      <c r="A56" s="47" t="s">
        <v>9</v>
      </c>
      <c r="B56" s="37" t="s">
        <v>55</v>
      </c>
      <c r="C56" s="38"/>
      <c r="D56" s="39">
        <f>'Memoria de Cálculo'!C47</f>
        <v>0</v>
      </c>
      <c r="E56" s="279"/>
    </row>
    <row r="57" spans="1:6" ht="15" x14ac:dyDescent="0.25">
      <c r="A57" s="47" t="s">
        <v>30</v>
      </c>
      <c r="B57" s="37" t="s">
        <v>56</v>
      </c>
      <c r="C57" s="38"/>
      <c r="D57" s="278">
        <f>'Memoria de Cálculo'!C48</f>
        <v>15.83</v>
      </c>
      <c r="E57" s="279"/>
    </row>
    <row r="58" spans="1:6" ht="15" x14ac:dyDescent="0.25">
      <c r="A58" s="47" t="s">
        <v>32</v>
      </c>
      <c r="B58" s="37" t="s">
        <v>34</v>
      </c>
      <c r="C58" s="38"/>
      <c r="D58" s="39">
        <f>'Memoria de Cálculo'!C49</f>
        <v>0</v>
      </c>
      <c r="E58" s="279"/>
    </row>
    <row r="59" spans="1:6" ht="15" x14ac:dyDescent="0.25">
      <c r="A59" s="318" t="s">
        <v>57</v>
      </c>
      <c r="B59" s="318"/>
      <c r="C59" s="135"/>
      <c r="D59" s="143">
        <f>SUM(D53:D58)</f>
        <v>662.75919999999996</v>
      </c>
      <c r="E59" s="279"/>
    </row>
    <row r="60" spans="1:6" ht="15" x14ac:dyDescent="0.25">
      <c r="A60" s="64"/>
      <c r="B60" s="52"/>
      <c r="C60" s="55"/>
      <c r="D60" s="56"/>
      <c r="E60" s="279"/>
    </row>
    <row r="61" spans="1:6" ht="15" x14ac:dyDescent="0.25">
      <c r="A61" s="320" t="s">
        <v>58</v>
      </c>
      <c r="B61" s="320"/>
      <c r="C61" s="320"/>
      <c r="D61" s="320"/>
      <c r="E61" s="279"/>
    </row>
    <row r="62" spans="1:6" ht="15" x14ac:dyDescent="0.25">
      <c r="A62" s="310" t="s">
        <v>59</v>
      </c>
      <c r="B62" s="310"/>
      <c r="C62" s="35"/>
      <c r="D62" s="36" t="s">
        <v>25</v>
      </c>
      <c r="E62" s="279"/>
    </row>
    <row r="63" spans="1:6" ht="15" x14ac:dyDescent="0.25">
      <c r="A63" s="47" t="s">
        <v>60</v>
      </c>
      <c r="B63" s="37" t="s">
        <v>61</v>
      </c>
      <c r="C63" s="38"/>
      <c r="D63" s="67">
        <f>D39</f>
        <v>422.35506133333337</v>
      </c>
      <c r="E63" s="279"/>
    </row>
    <row r="64" spans="1:6" ht="15" x14ac:dyDescent="0.25">
      <c r="A64" s="47" t="s">
        <v>62</v>
      </c>
      <c r="B64" s="37" t="s">
        <v>63</v>
      </c>
      <c r="C64" s="38"/>
      <c r="D64" s="67">
        <f>D50</f>
        <v>1082.1715520000002</v>
      </c>
      <c r="E64" s="279"/>
    </row>
    <row r="65" spans="1:5" ht="15" x14ac:dyDescent="0.25">
      <c r="A65" s="47" t="s">
        <v>64</v>
      </c>
      <c r="B65" s="37" t="s">
        <v>65</v>
      </c>
      <c r="C65" s="38"/>
      <c r="D65" s="67">
        <f>D59</f>
        <v>662.75919999999996</v>
      </c>
      <c r="E65" s="279"/>
    </row>
    <row r="66" spans="1:5" ht="15" x14ac:dyDescent="0.25">
      <c r="A66" s="318" t="s">
        <v>66</v>
      </c>
      <c r="B66" s="318"/>
      <c r="C66" s="135"/>
      <c r="D66" s="143">
        <f>SUM(D63:D65)</f>
        <v>2167.2858133333339</v>
      </c>
      <c r="E66" s="279"/>
    </row>
    <row r="67" spans="1:5" ht="15" x14ac:dyDescent="0.25">
      <c r="A67" s="68"/>
      <c r="B67" s="52"/>
      <c r="C67" s="55"/>
      <c r="D67" s="56"/>
      <c r="E67" s="279"/>
    </row>
    <row r="68" spans="1:5" ht="15" x14ac:dyDescent="0.25">
      <c r="A68" s="303" t="s">
        <v>67</v>
      </c>
      <c r="B68" s="303"/>
      <c r="C68" s="303"/>
      <c r="D68" s="303"/>
      <c r="E68" s="279"/>
    </row>
    <row r="69" spans="1:5" ht="15" x14ac:dyDescent="0.25">
      <c r="A69" s="310" t="s">
        <v>68</v>
      </c>
      <c r="B69" s="310"/>
      <c r="C69" s="35" t="s">
        <v>24</v>
      </c>
      <c r="D69" s="36" t="s">
        <v>25</v>
      </c>
      <c r="E69" s="279"/>
    </row>
    <row r="70" spans="1:5" ht="15" x14ac:dyDescent="0.25">
      <c r="A70" s="47" t="s">
        <v>2</v>
      </c>
      <c r="B70" s="37" t="s">
        <v>69</v>
      </c>
      <c r="C70" s="69">
        <f>'Memoria de Cálculo'!C54</f>
        <v>8.3333333333333332E-3</v>
      </c>
      <c r="D70" s="39">
        <f>C70*$D$31</f>
        <v>22.658533333333335</v>
      </c>
      <c r="E70" s="279"/>
    </row>
    <row r="71" spans="1:5" ht="15" x14ac:dyDescent="0.25">
      <c r="A71" s="47" t="s">
        <v>4</v>
      </c>
      <c r="B71" s="37" t="s">
        <v>70</v>
      </c>
      <c r="C71" s="69">
        <f>'Memoria de Cálculo'!C55</f>
        <v>6.6666666666666664E-4</v>
      </c>
      <c r="D71" s="39">
        <f>C71*$D$31</f>
        <v>1.8126826666666669</v>
      </c>
      <c r="E71" s="279"/>
    </row>
    <row r="72" spans="1:5" ht="29.25" x14ac:dyDescent="0.25">
      <c r="A72" s="47" t="s">
        <v>7</v>
      </c>
      <c r="B72" s="37" t="s">
        <v>71</v>
      </c>
      <c r="C72" s="69">
        <f>'Memoria de Cálculo'!C56</f>
        <v>5.1111111111111097E-3</v>
      </c>
      <c r="D72" s="39">
        <f>C72*$D$31</f>
        <v>13.897233777777776</v>
      </c>
      <c r="E72" s="46"/>
    </row>
    <row r="73" spans="1:5" ht="15" x14ac:dyDescent="0.25">
      <c r="A73" s="319" t="s">
        <v>72</v>
      </c>
      <c r="B73" s="319"/>
      <c r="C73" s="144">
        <f>SUM(C70:C72)</f>
        <v>1.4111111111111109E-2</v>
      </c>
      <c r="D73" s="143">
        <f>SUM(D70:D72)</f>
        <v>38.368449777777776</v>
      </c>
      <c r="E73" s="46"/>
    </row>
    <row r="74" spans="1:5" ht="15" x14ac:dyDescent="0.25">
      <c r="A74" s="71"/>
      <c r="B74" s="32"/>
      <c r="C74" s="72"/>
      <c r="D74" s="33"/>
      <c r="E74" s="46"/>
    </row>
    <row r="75" spans="1:5" ht="15" x14ac:dyDescent="0.25">
      <c r="A75" s="310" t="s">
        <v>73</v>
      </c>
      <c r="B75" s="310"/>
      <c r="C75" s="35" t="s">
        <v>24</v>
      </c>
      <c r="D75" s="36" t="s">
        <v>25</v>
      </c>
      <c r="E75" s="46"/>
    </row>
    <row r="76" spans="1:5" ht="15" x14ac:dyDescent="0.25">
      <c r="A76" s="47" t="s">
        <v>2</v>
      </c>
      <c r="B76" s="37" t="s">
        <v>74</v>
      </c>
      <c r="C76" s="69">
        <f>'Memoria de Cálculo'!C64</f>
        <v>1.9444444444444445E-2</v>
      </c>
      <c r="D76" s="39">
        <f>C76*$D$31</f>
        <v>52.869911111111115</v>
      </c>
      <c r="E76" s="279"/>
    </row>
    <row r="77" spans="1:5" ht="29.25" x14ac:dyDescent="0.25">
      <c r="A77" s="47" t="s">
        <v>4</v>
      </c>
      <c r="B77" s="37" t="s">
        <v>75</v>
      </c>
      <c r="C77" s="69">
        <f>'Memoria de Cálculo'!C65</f>
        <v>7.7388888888888898E-3</v>
      </c>
      <c r="D77" s="39">
        <f>C77*$D$31</f>
        <v>21.042224622222228</v>
      </c>
      <c r="E77" s="279"/>
    </row>
    <row r="78" spans="1:5" ht="29.25" x14ac:dyDescent="0.25">
      <c r="A78" s="47" t="s">
        <v>7</v>
      </c>
      <c r="B78" s="37" t="s">
        <v>76</v>
      </c>
      <c r="C78" s="69">
        <f>'Memoria de Cálculo'!C66</f>
        <v>4.3000000000000003E-2</v>
      </c>
      <c r="D78" s="39">
        <f>C78*$D$31</f>
        <v>116.91803200000003</v>
      </c>
      <c r="E78" s="46"/>
    </row>
    <row r="79" spans="1:5" ht="15" x14ac:dyDescent="0.25">
      <c r="A79" s="318" t="s">
        <v>77</v>
      </c>
      <c r="B79" s="318"/>
      <c r="C79" s="144">
        <f>SUM(C76:C78)</f>
        <v>7.0183333333333334E-2</v>
      </c>
      <c r="D79" s="143">
        <f>SUM(D76:D78)</f>
        <v>190.83016773333338</v>
      </c>
      <c r="E79" s="46"/>
    </row>
    <row r="80" spans="1:5" ht="15" x14ac:dyDescent="0.25">
      <c r="A80" s="49"/>
      <c r="B80" s="73"/>
      <c r="C80" s="74"/>
      <c r="D80" s="75"/>
      <c r="E80" s="46"/>
    </row>
    <row r="81" spans="1:5" ht="15" x14ac:dyDescent="0.25">
      <c r="A81" s="303" t="s">
        <v>78</v>
      </c>
      <c r="B81" s="303"/>
      <c r="C81" s="303"/>
      <c r="D81" s="303"/>
      <c r="E81" s="279"/>
    </row>
    <row r="82" spans="1:5" ht="15" x14ac:dyDescent="0.25">
      <c r="A82" s="310" t="s">
        <v>79</v>
      </c>
      <c r="B82" s="310"/>
      <c r="C82" s="51"/>
      <c r="D82" s="36" t="s">
        <v>25</v>
      </c>
      <c r="E82" s="279"/>
    </row>
    <row r="83" spans="1:5" ht="15" x14ac:dyDescent="0.25">
      <c r="A83" s="47" t="s">
        <v>80</v>
      </c>
      <c r="B83" s="37" t="s">
        <v>81</v>
      </c>
      <c r="C83" s="38"/>
      <c r="D83" s="67">
        <f>D73</f>
        <v>38.368449777777776</v>
      </c>
      <c r="E83" s="279"/>
    </row>
    <row r="84" spans="1:5" ht="15" x14ac:dyDescent="0.25">
      <c r="A84" s="47" t="s">
        <v>82</v>
      </c>
      <c r="B84" s="37" t="s">
        <v>83</v>
      </c>
      <c r="C84" s="38"/>
      <c r="D84" s="67">
        <f>D79</f>
        <v>190.83016773333338</v>
      </c>
      <c r="E84" s="279"/>
    </row>
    <row r="85" spans="1:5" ht="15" x14ac:dyDescent="0.25">
      <c r="A85" s="310" t="s">
        <v>84</v>
      </c>
      <c r="B85" s="310"/>
      <c r="C85" s="51"/>
      <c r="D85" s="76">
        <f>SUM(D83:D84)</f>
        <v>229.19861751111117</v>
      </c>
      <c r="E85" s="279"/>
    </row>
    <row r="86" spans="1:5" ht="15" x14ac:dyDescent="0.25">
      <c r="A86" s="49"/>
      <c r="B86" s="73"/>
      <c r="C86" s="74"/>
      <c r="D86" s="75"/>
      <c r="E86" s="46"/>
    </row>
    <row r="87" spans="1:5" ht="15" x14ac:dyDescent="0.25">
      <c r="A87" s="303" t="s">
        <v>85</v>
      </c>
      <c r="B87" s="303"/>
      <c r="C87" s="303"/>
      <c r="D87" s="303"/>
      <c r="E87" s="46"/>
    </row>
    <row r="88" spans="1:5" ht="15" x14ac:dyDescent="0.25">
      <c r="A88" s="310" t="s">
        <v>86</v>
      </c>
      <c r="B88" s="310"/>
      <c r="C88" s="35" t="s">
        <v>24</v>
      </c>
      <c r="D88" s="36" t="s">
        <v>25</v>
      </c>
      <c r="E88" s="46"/>
    </row>
    <row r="89" spans="1:5" ht="15" x14ac:dyDescent="0.25">
      <c r="A89" s="17" t="s">
        <v>2</v>
      </c>
      <c r="B89" s="13" t="s">
        <v>87</v>
      </c>
      <c r="C89" s="69">
        <f>'Memoria de Cálculo'!C77</f>
        <v>8.3333333333333329E-2</v>
      </c>
      <c r="D89" s="39">
        <f t="shared" ref="D89:D96" si="1">C89*$D$31</f>
        <v>226.58533333333335</v>
      </c>
      <c r="E89" s="279"/>
    </row>
    <row r="90" spans="1:5" ht="15" x14ac:dyDescent="0.25">
      <c r="A90" s="17" t="s">
        <v>4</v>
      </c>
      <c r="B90" s="13" t="s">
        <v>88</v>
      </c>
      <c r="C90" s="69">
        <f>'Memoria de Cálculo'!C78</f>
        <v>3.3166666666666664E-2</v>
      </c>
      <c r="D90" s="39">
        <f t="shared" si="1"/>
        <v>90.180962666666673</v>
      </c>
      <c r="E90" s="279"/>
    </row>
    <row r="91" spans="1:5" ht="15" x14ac:dyDescent="0.25">
      <c r="A91" s="17" t="s">
        <v>7</v>
      </c>
      <c r="B91" s="13" t="s">
        <v>89</v>
      </c>
      <c r="C91" s="69">
        <f>'Memoria de Cálculo'!C79</f>
        <v>2.7777777777777779E-3</v>
      </c>
      <c r="D91" s="39">
        <f t="shared" si="1"/>
        <v>7.552844444444446</v>
      </c>
      <c r="E91" s="279"/>
    </row>
    <row r="92" spans="1:5" ht="15" x14ac:dyDescent="0.25">
      <c r="A92" s="17" t="s">
        <v>9</v>
      </c>
      <c r="B92" s="13" t="s">
        <v>90</v>
      </c>
      <c r="C92" s="69">
        <f>'Memoria de Cálculo'!C80</f>
        <v>1.1735076103500763E-3</v>
      </c>
      <c r="D92" s="39">
        <f t="shared" si="1"/>
        <v>3.1907953567245064</v>
      </c>
      <c r="E92" s="279"/>
    </row>
    <row r="93" spans="1:5" ht="15" x14ac:dyDescent="0.25">
      <c r="A93" s="17" t="s">
        <v>30</v>
      </c>
      <c r="B93" s="13" t="s">
        <v>91</v>
      </c>
      <c r="C93" s="69">
        <f>'Memoria de Cálculo'!C81</f>
        <v>9.5890410958904115E-3</v>
      </c>
      <c r="D93" s="39">
        <f t="shared" si="1"/>
        <v>26.072832876712333</v>
      </c>
      <c r="E93" s="279"/>
    </row>
    <row r="94" spans="1:5" ht="15" x14ac:dyDescent="0.25">
      <c r="A94" s="17" t="s">
        <v>32</v>
      </c>
      <c r="B94" s="13" t="s">
        <v>92</v>
      </c>
      <c r="C94" s="69">
        <f>'Memoria de Cálculo'!C82</f>
        <v>4.0273972602739732E-4</v>
      </c>
      <c r="D94" s="39">
        <f t="shared" si="1"/>
        <v>1.0950589808219182</v>
      </c>
      <c r="E94" s="279"/>
    </row>
    <row r="95" spans="1:5" ht="15" x14ac:dyDescent="0.25">
      <c r="A95" s="17" t="s">
        <v>33</v>
      </c>
      <c r="B95" s="13" t="s">
        <v>93</v>
      </c>
      <c r="C95" s="69">
        <f>'Memoria de Cálculo'!C83</f>
        <v>4.723561643835617E-3</v>
      </c>
      <c r="D95" s="39">
        <f t="shared" si="1"/>
        <v>12.843477475068497</v>
      </c>
      <c r="E95" s="279"/>
    </row>
    <row r="96" spans="1:5" ht="15" x14ac:dyDescent="0.25">
      <c r="A96" s="47" t="s">
        <v>50</v>
      </c>
      <c r="B96" s="13" t="s">
        <v>94</v>
      </c>
      <c r="C96" s="69">
        <f>'Memoria de Cálculo'!C84</f>
        <v>9.7168949771689507E-5</v>
      </c>
      <c r="D96" s="39">
        <f t="shared" si="1"/>
        <v>0.26420470648401834</v>
      </c>
      <c r="E96" s="279"/>
    </row>
    <row r="97" spans="1:5" ht="29.25" x14ac:dyDescent="0.25">
      <c r="A97" s="47" t="s">
        <v>95</v>
      </c>
      <c r="B97" s="13" t="s">
        <v>96</v>
      </c>
      <c r="C97" s="69">
        <f>'Memoria de Cálculo'!C85</f>
        <v>7.4679911278538822E-3</v>
      </c>
      <c r="D97" s="39">
        <f>SUM(D89:D95)</f>
        <v>367.52130513377165</v>
      </c>
      <c r="E97" s="279"/>
    </row>
    <row r="98" spans="1:5" ht="15" x14ac:dyDescent="0.25">
      <c r="A98" s="318" t="s">
        <v>147</v>
      </c>
      <c r="B98" s="318"/>
      <c r="C98" s="70">
        <f>SUM(C89:C97)</f>
        <v>0.14273178793150681</v>
      </c>
      <c r="D98" s="62">
        <f>SUM(D89:D97)</f>
        <v>735.30681497402725</v>
      </c>
      <c r="E98" s="46"/>
    </row>
    <row r="99" spans="1:5" ht="15" x14ac:dyDescent="0.25">
      <c r="A99" s="77"/>
      <c r="B99" s="78"/>
      <c r="C99" s="79"/>
      <c r="D99" s="80"/>
      <c r="E99" s="46"/>
    </row>
    <row r="100" spans="1:5" ht="15" x14ac:dyDescent="0.25">
      <c r="A100" s="81"/>
      <c r="B100" s="82"/>
      <c r="C100" s="83"/>
      <c r="D100" s="84"/>
      <c r="E100" s="46"/>
    </row>
    <row r="101" spans="1:5" ht="15" x14ac:dyDescent="0.25">
      <c r="A101" s="47" t="s">
        <v>98</v>
      </c>
      <c r="B101" s="145"/>
      <c r="C101" s="35" t="s">
        <v>24</v>
      </c>
      <c r="D101" s="36" t="s">
        <v>25</v>
      </c>
      <c r="E101" s="46"/>
    </row>
    <row r="102" spans="1:5" ht="15" x14ac:dyDescent="0.25">
      <c r="A102" s="47" t="s">
        <v>2</v>
      </c>
      <c r="B102" s="13" t="s">
        <v>99</v>
      </c>
      <c r="C102" s="69">
        <f>'Memoria de Cálculo'!C98</f>
        <v>0.10227272727272727</v>
      </c>
      <c r="D102" s="85">
        <f>C102*D31</f>
        <v>278.08199999999999</v>
      </c>
      <c r="E102" s="279"/>
    </row>
    <row r="103" spans="1:5" ht="29.25" x14ac:dyDescent="0.25">
      <c r="A103" s="47" t="s">
        <v>4</v>
      </c>
      <c r="B103" s="13" t="s">
        <v>100</v>
      </c>
      <c r="C103" s="69">
        <f>'Memoria de Cálculo'!C99</f>
        <v>4.0704545454545452E-2</v>
      </c>
      <c r="D103" s="39">
        <f>C103*D102</f>
        <v>11.319201409090908</v>
      </c>
      <c r="E103" s="279"/>
    </row>
    <row r="104" spans="1:5" ht="15" x14ac:dyDescent="0.25">
      <c r="A104" s="318" t="s">
        <v>97</v>
      </c>
      <c r="B104" s="318"/>
      <c r="C104" s="70">
        <f>'Memoria de Cálculo'!C100</f>
        <v>0.14297727272727273</v>
      </c>
      <c r="D104" s="146">
        <f>SUM(D102:D103)</f>
        <v>289.4012014090909</v>
      </c>
      <c r="E104" s="279"/>
    </row>
    <row r="105" spans="1:5" ht="15" x14ac:dyDescent="0.25">
      <c r="A105" s="68"/>
      <c r="B105" s="52"/>
      <c r="C105" s="55"/>
      <c r="D105" s="56"/>
      <c r="E105" s="46"/>
    </row>
    <row r="106" spans="1:5" ht="15" x14ac:dyDescent="0.25">
      <c r="A106" s="303" t="s">
        <v>101</v>
      </c>
      <c r="B106" s="303"/>
      <c r="C106" s="303"/>
      <c r="D106" s="303"/>
      <c r="E106" s="279"/>
    </row>
    <row r="107" spans="1:5" ht="15" x14ac:dyDescent="0.25">
      <c r="A107" s="310" t="s">
        <v>102</v>
      </c>
      <c r="B107" s="310"/>
      <c r="C107" s="51"/>
      <c r="D107" s="36" t="s">
        <v>25</v>
      </c>
      <c r="E107" s="279"/>
    </row>
    <row r="108" spans="1:5" ht="15" x14ac:dyDescent="0.25">
      <c r="A108" s="17" t="s">
        <v>103</v>
      </c>
      <c r="B108" s="37" t="s">
        <v>90</v>
      </c>
      <c r="C108" s="38"/>
      <c r="D108" s="39">
        <f>D98</f>
        <v>735.30681497402725</v>
      </c>
      <c r="E108" s="279"/>
    </row>
    <row r="109" spans="1:5" ht="15" x14ac:dyDescent="0.25">
      <c r="A109" s="17" t="s">
        <v>104</v>
      </c>
      <c r="B109" s="37" t="s">
        <v>105</v>
      </c>
      <c r="C109" s="38"/>
      <c r="D109" s="39">
        <f>D104</f>
        <v>289.4012014090909</v>
      </c>
      <c r="E109" s="279"/>
    </row>
    <row r="110" spans="1:5" ht="15" x14ac:dyDescent="0.25">
      <c r="A110" s="310" t="s">
        <v>106</v>
      </c>
      <c r="B110" s="310"/>
      <c r="C110" s="51"/>
      <c r="D110" s="76">
        <f>SUM(D108:D109)</f>
        <v>1024.7080163831181</v>
      </c>
      <c r="E110" s="279"/>
    </row>
    <row r="111" spans="1:5" ht="15" x14ac:dyDescent="0.25">
      <c r="A111" s="68"/>
      <c r="B111" s="52"/>
      <c r="C111" s="55"/>
      <c r="D111" s="56"/>
      <c r="E111" s="279"/>
    </row>
    <row r="112" spans="1:5" ht="15" x14ac:dyDescent="0.25">
      <c r="A112" s="303" t="s">
        <v>107</v>
      </c>
      <c r="B112" s="303"/>
      <c r="C112" s="303"/>
      <c r="D112" s="303"/>
      <c r="E112" s="46"/>
    </row>
    <row r="113" spans="1:6" ht="15" customHeight="1" x14ac:dyDescent="0.25">
      <c r="A113" s="308" t="s">
        <v>108</v>
      </c>
      <c r="B113" s="308"/>
      <c r="C113" s="35"/>
      <c r="D113" s="36" t="s">
        <v>25</v>
      </c>
      <c r="E113" s="279"/>
    </row>
    <row r="114" spans="1:6" ht="15" x14ac:dyDescent="0.25">
      <c r="A114" s="17" t="s">
        <v>2</v>
      </c>
      <c r="B114" s="37" t="s">
        <v>109</v>
      </c>
      <c r="C114" s="38"/>
      <c r="D114" s="39">
        <f>'Memoria de Cálculo'!C106</f>
        <v>26.15</v>
      </c>
      <c r="E114" s="279"/>
    </row>
    <row r="115" spans="1:6" ht="15" x14ac:dyDescent="0.25">
      <c r="A115" s="17" t="s">
        <v>4</v>
      </c>
      <c r="B115" s="37" t="s">
        <v>110</v>
      </c>
      <c r="C115" s="38"/>
      <c r="D115" s="39">
        <f>'Memoria de Cálculo'!C108</f>
        <v>16.760000000000002</v>
      </c>
      <c r="E115" s="279"/>
    </row>
    <row r="116" spans="1:6" ht="15" x14ac:dyDescent="0.25">
      <c r="A116" s="87" t="s">
        <v>7</v>
      </c>
      <c r="B116" s="37" t="s">
        <v>111</v>
      </c>
      <c r="C116" s="38"/>
      <c r="D116" s="39">
        <f>'Memoria de Cálculo'!K108</f>
        <v>29.86</v>
      </c>
      <c r="E116" s="279"/>
    </row>
    <row r="117" spans="1:6" ht="15" x14ac:dyDescent="0.25">
      <c r="A117" s="87" t="s">
        <v>9</v>
      </c>
      <c r="B117" s="37" t="s">
        <v>34</v>
      </c>
      <c r="C117" s="38"/>
      <c r="D117" s="39"/>
      <c r="E117" s="279"/>
    </row>
    <row r="118" spans="1:6" ht="15" customHeight="1" x14ac:dyDescent="0.25">
      <c r="A118" s="309" t="s">
        <v>112</v>
      </c>
      <c r="B118" s="309"/>
      <c r="C118" s="70"/>
      <c r="D118" s="62">
        <f>SUM(D114:D117)</f>
        <v>72.77</v>
      </c>
      <c r="E118" s="46"/>
    </row>
    <row r="119" spans="1:6" ht="15" x14ac:dyDescent="0.25">
      <c r="A119" s="68"/>
      <c r="B119" s="52"/>
      <c r="C119" s="55"/>
      <c r="D119" s="56"/>
      <c r="E119" s="46"/>
    </row>
    <row r="120" spans="1:6" ht="15" x14ac:dyDescent="0.25">
      <c r="A120" s="88"/>
      <c r="B120" s="89" t="s">
        <v>113</v>
      </c>
      <c r="C120" s="90"/>
      <c r="D120" s="91">
        <f>D118+D110+D85+D66+D31</f>
        <v>6212.986447227564</v>
      </c>
      <c r="E120" s="46"/>
    </row>
    <row r="121" spans="1:6" ht="15" x14ac:dyDescent="0.25">
      <c r="A121" s="54"/>
      <c r="B121" s="52"/>
      <c r="C121" s="55"/>
      <c r="D121" s="56"/>
      <c r="E121" s="46"/>
    </row>
    <row r="122" spans="1:6" ht="15" x14ac:dyDescent="0.25">
      <c r="A122" s="303" t="s">
        <v>114</v>
      </c>
      <c r="B122" s="303"/>
      <c r="C122" s="303"/>
      <c r="D122" s="303"/>
      <c r="E122" s="46"/>
    </row>
    <row r="123" spans="1:6" ht="15" x14ac:dyDescent="0.25">
      <c r="A123" s="17">
        <v>6</v>
      </c>
      <c r="B123" s="34" t="s">
        <v>115</v>
      </c>
      <c r="C123" s="35" t="s">
        <v>24</v>
      </c>
      <c r="D123" s="36" t="s">
        <v>25</v>
      </c>
      <c r="E123" s="279"/>
    </row>
    <row r="124" spans="1:6" ht="15" x14ac:dyDescent="0.25">
      <c r="A124" s="17" t="s">
        <v>2</v>
      </c>
      <c r="B124" s="13" t="s">
        <v>116</v>
      </c>
      <c r="C124" s="38">
        <f>'Memoria de Cálculo'!C121</f>
        <v>7.3300000000000004E-2</v>
      </c>
      <c r="D124" s="39">
        <f>C124*D120</f>
        <v>455.41190658178044</v>
      </c>
      <c r="E124" s="279"/>
    </row>
    <row r="125" spans="1:6" ht="15" x14ac:dyDescent="0.25">
      <c r="A125" s="17" t="s">
        <v>4</v>
      </c>
      <c r="B125" s="13" t="s">
        <v>117</v>
      </c>
      <c r="C125" s="38">
        <f>'Memoria de Cálculo'!C122</f>
        <v>7.8600000000000003E-2</v>
      </c>
      <c r="D125" s="39">
        <f>(D124+D120)*C125</f>
        <v>524.13611060941446</v>
      </c>
      <c r="E125" s="282"/>
    </row>
    <row r="126" spans="1:6" ht="15" x14ac:dyDescent="0.25">
      <c r="A126" s="17" t="s">
        <v>7</v>
      </c>
      <c r="B126" s="34" t="s">
        <v>118</v>
      </c>
      <c r="C126" s="51"/>
      <c r="D126" s="106"/>
      <c r="E126" s="282"/>
    </row>
    <row r="127" spans="1:6" ht="15" x14ac:dyDescent="0.25">
      <c r="A127" s="17"/>
      <c r="B127" s="13" t="s">
        <v>301</v>
      </c>
      <c r="C127" s="38">
        <f>'Memoria de Cálculo'!C124</f>
        <v>9.2499999999999999E-2</v>
      </c>
      <c r="D127" s="39">
        <f>(($D$125+$D$124+$D$120)/(1-SUM($C$127:$C$129))*C127)</f>
        <v>775.87106467490992</v>
      </c>
      <c r="E127" s="282"/>
      <c r="F127" s="95"/>
    </row>
    <row r="128" spans="1:6" ht="15" x14ac:dyDescent="0.25">
      <c r="A128" s="17"/>
      <c r="B128" s="13" t="s">
        <v>119</v>
      </c>
      <c r="C128" s="38">
        <f>'Memoria de Cálculo'!C125</f>
        <v>0</v>
      </c>
      <c r="D128" s="39">
        <f>(($D$125+$D$124+$D$120)/(1-SUM($C$127:$C$129))*C128)</f>
        <v>0</v>
      </c>
      <c r="E128" s="282"/>
    </row>
    <row r="129" spans="1:7" ht="15" x14ac:dyDescent="0.25">
      <c r="A129" s="17"/>
      <c r="B129" s="13" t="s">
        <v>120</v>
      </c>
      <c r="C129" s="38">
        <f>'Memoria de Cálculo'!C126</f>
        <v>0.05</v>
      </c>
      <c r="D129" s="39">
        <f>(($D$125+$D$124+$D$120)/(1-SUM($C$127:$C$129))*C129)</f>
        <v>419.38976468914052</v>
      </c>
      <c r="E129" s="282"/>
    </row>
    <row r="130" spans="1:7" ht="15" x14ac:dyDescent="0.25">
      <c r="A130" s="307" t="s">
        <v>121</v>
      </c>
      <c r="B130" s="307"/>
      <c r="C130" s="40">
        <f>SUM(C124:C129)</f>
        <v>0.2944</v>
      </c>
      <c r="D130" s="41">
        <f>SUM(D124:D129)</f>
        <v>2174.8088465552455</v>
      </c>
    </row>
    <row r="131" spans="1:7" ht="15" x14ac:dyDescent="0.25">
      <c r="A131" s="19"/>
      <c r="B131" s="98"/>
      <c r="C131" s="79"/>
      <c r="D131" s="99"/>
      <c r="F131" s="95"/>
    </row>
    <row r="132" spans="1:7" ht="15" x14ac:dyDescent="0.25">
      <c r="A132" s="19"/>
      <c r="B132" s="100"/>
      <c r="C132" s="101"/>
      <c r="D132" s="102"/>
      <c r="F132" s="95"/>
    </row>
    <row r="133" spans="1:7" ht="15" x14ac:dyDescent="0.25">
      <c r="A133" s="303" t="s">
        <v>122</v>
      </c>
      <c r="B133" s="303"/>
      <c r="C133" s="303"/>
      <c r="D133" s="303"/>
    </row>
    <row r="134" spans="1:7" ht="15" x14ac:dyDescent="0.25">
      <c r="A134" s="49" t="s">
        <v>123</v>
      </c>
      <c r="B134" s="103"/>
      <c r="C134" s="92"/>
      <c r="D134" s="36" t="s">
        <v>25</v>
      </c>
      <c r="F134" s="104"/>
    </row>
    <row r="135" spans="1:7" ht="18" customHeight="1" x14ac:dyDescent="0.2">
      <c r="A135" s="105" t="s">
        <v>2</v>
      </c>
      <c r="B135" s="147" t="str">
        <f>A23</f>
        <v>MÓDULO 1 - COMPOSIÇÃO DA REMUNERAÇÃO</v>
      </c>
      <c r="C135" s="14"/>
      <c r="D135" s="148">
        <f>D31</f>
        <v>2719.0240000000003</v>
      </c>
    </row>
    <row r="136" spans="1:7" ht="28.5" x14ac:dyDescent="0.2">
      <c r="A136" s="105" t="s">
        <v>4</v>
      </c>
      <c r="B136" s="147" t="str">
        <f>A33</f>
        <v>MÓDULO 2 – ENCARGOS E BENEFÍCIOS ANUAIS, MENSAIS E DIÁRIOS</v>
      </c>
      <c r="C136" s="14"/>
      <c r="D136" s="148">
        <f>D66</f>
        <v>2167.2858133333339</v>
      </c>
    </row>
    <row r="137" spans="1:7" ht="20.25" customHeight="1" x14ac:dyDescent="0.2">
      <c r="A137" s="105" t="s">
        <v>7</v>
      </c>
      <c r="B137" s="147" t="str">
        <f>A68</f>
        <v>MÓDULO 3 – PROVISÃO PARA RESCISÃO</v>
      </c>
      <c r="C137" s="14"/>
      <c r="D137" s="148">
        <f>D85</f>
        <v>229.19861751111117</v>
      </c>
    </row>
    <row r="138" spans="1:7" ht="33" customHeight="1" x14ac:dyDescent="0.2">
      <c r="A138" s="105" t="s">
        <v>9</v>
      </c>
      <c r="B138" s="147" t="str">
        <f>A87</f>
        <v>MÓDULO 4 – CUSTO DE REPOSIÇÃO DO PROFISSIONAL AUSENTE</v>
      </c>
      <c r="C138" s="14"/>
      <c r="D138" s="148">
        <f>D110</f>
        <v>1024.7080163831181</v>
      </c>
    </row>
    <row r="139" spans="1:7" ht="22.5" customHeight="1" x14ac:dyDescent="0.2">
      <c r="A139" s="105" t="s">
        <v>30</v>
      </c>
      <c r="B139" s="147" t="str">
        <f>A112</f>
        <v>MÓDULO 5 – INSUMOS DIVERSOS</v>
      </c>
      <c r="C139" s="14"/>
      <c r="D139" s="148">
        <f>D118</f>
        <v>72.77</v>
      </c>
    </row>
    <row r="140" spans="1:7" ht="23.25" customHeight="1" x14ac:dyDescent="0.2">
      <c r="A140" s="316" t="s">
        <v>124</v>
      </c>
      <c r="B140" s="316"/>
      <c r="C140" s="316"/>
      <c r="D140" s="149">
        <f>SUM(D135:D139)</f>
        <v>6212.986447227564</v>
      </c>
    </row>
    <row r="141" spans="1:7" ht="27.6" customHeight="1" x14ac:dyDescent="0.2">
      <c r="A141" s="12" t="s">
        <v>32</v>
      </c>
      <c r="B141" s="13" t="str">
        <f>A122</f>
        <v>MÓDULO 6 – CUSTOS INDIRETOS, TRIBUTOS E LUCRO</v>
      </c>
      <c r="C141" s="14"/>
      <c r="D141" s="148">
        <f>D130</f>
        <v>2174.8088465552455</v>
      </c>
    </row>
    <row r="142" spans="1:7" ht="21" customHeight="1" x14ac:dyDescent="0.2">
      <c r="A142" s="317" t="s">
        <v>125</v>
      </c>
      <c r="B142" s="317"/>
      <c r="C142" s="317"/>
      <c r="D142" s="150">
        <f>ROUND(D141+D140,2)</f>
        <v>8387.7999999999993</v>
      </c>
    </row>
    <row r="143" spans="1:7" ht="13.15" customHeight="1" x14ac:dyDescent="0.2"/>
    <row r="144" spans="1:7" ht="18.75" customHeight="1" x14ac:dyDescent="0.2">
      <c r="A144" s="313" t="s">
        <v>126</v>
      </c>
      <c r="B144" s="313"/>
      <c r="C144" s="313"/>
      <c r="D144" s="313"/>
      <c r="E144" s="313"/>
      <c r="F144" s="313"/>
      <c r="G144" s="313"/>
    </row>
    <row r="145" spans="1:7" ht="78.599999999999994" customHeight="1" x14ac:dyDescent="0.2">
      <c r="A145" s="108"/>
      <c r="B145" s="109" t="s">
        <v>128</v>
      </c>
      <c r="C145" s="110" t="s">
        <v>129</v>
      </c>
      <c r="D145" s="111" t="s">
        <v>130</v>
      </c>
      <c r="E145" s="110" t="s">
        <v>131</v>
      </c>
      <c r="F145" s="110" t="s">
        <v>132</v>
      </c>
      <c r="G145" s="112" t="s">
        <v>133</v>
      </c>
    </row>
    <row r="146" spans="1:7" ht="47.25" customHeight="1" x14ac:dyDescent="0.2">
      <c r="A146" s="108"/>
      <c r="B146" s="113" t="s">
        <v>273</v>
      </c>
      <c r="C146" s="114">
        <f>D142</f>
        <v>8387.7999999999993</v>
      </c>
      <c r="D146" s="115">
        <v>2</v>
      </c>
      <c r="E146" s="114">
        <f>C146*D146</f>
        <v>16775.599999999999</v>
      </c>
      <c r="F146" s="293">
        <v>57</v>
      </c>
      <c r="G146" s="114">
        <f>F146*E146</f>
        <v>956209.2</v>
      </c>
    </row>
    <row r="147" spans="1:7" ht="27" customHeight="1" x14ac:dyDescent="0.2">
      <c r="A147" s="27"/>
      <c r="B147" s="116"/>
      <c r="C147" s="117"/>
      <c r="D147" s="314" t="s">
        <v>135</v>
      </c>
      <c r="E147" s="314"/>
      <c r="F147" s="314"/>
      <c r="G147" s="118">
        <f>G146</f>
        <v>956209.2</v>
      </c>
    </row>
    <row r="148" spans="1:7" ht="13.9" customHeight="1" x14ac:dyDescent="0.2"/>
    <row r="149" spans="1:7" ht="18" customHeight="1" x14ac:dyDescent="0.2">
      <c r="A149" s="300" t="s">
        <v>136</v>
      </c>
      <c r="B149" s="300"/>
      <c r="C149" s="300"/>
      <c r="D149" s="119"/>
    </row>
    <row r="150" spans="1:7" ht="18" customHeight="1" x14ac:dyDescent="0.25">
      <c r="A150" s="315" t="s">
        <v>137</v>
      </c>
      <c r="B150" s="315"/>
      <c r="C150" s="315"/>
      <c r="D150" s="120"/>
    </row>
    <row r="151" spans="1:7" ht="18" customHeight="1" x14ac:dyDescent="0.25">
      <c r="A151" s="121"/>
      <c r="B151" s="122" t="s">
        <v>138</v>
      </c>
      <c r="C151" s="123" t="s">
        <v>139</v>
      </c>
      <c r="D151" s="120"/>
    </row>
    <row r="152" spans="1:7" ht="19.149999999999999" customHeight="1" x14ac:dyDescent="0.2">
      <c r="A152" s="124" t="s">
        <v>2</v>
      </c>
      <c r="B152" s="151" t="s">
        <v>140</v>
      </c>
      <c r="C152" s="294">
        <f>E146</f>
        <v>16775.599999999999</v>
      </c>
      <c r="D152" s="119"/>
    </row>
    <row r="153" spans="1:7" ht="18" customHeight="1" x14ac:dyDescent="0.2">
      <c r="A153" s="126" t="s">
        <v>4</v>
      </c>
      <c r="B153" s="152" t="s">
        <v>141</v>
      </c>
      <c r="C153" s="295">
        <f>G146</f>
        <v>956209.2</v>
      </c>
      <c r="D153" s="119"/>
    </row>
    <row r="154" spans="1:7" ht="32.25" customHeight="1" x14ac:dyDescent="0.2">
      <c r="A154" s="128" t="s">
        <v>7</v>
      </c>
      <c r="B154" s="153" t="s">
        <v>142</v>
      </c>
      <c r="C154" s="296">
        <f>C153*12</f>
        <v>11474510.399999999</v>
      </c>
      <c r="D154" s="119"/>
    </row>
    <row r="155" spans="1:7" x14ac:dyDescent="0.2">
      <c r="A155" s="19"/>
      <c r="D155" s="48"/>
    </row>
    <row r="156" spans="1:7" ht="15" x14ac:dyDescent="0.25">
      <c r="B156" s="130"/>
      <c r="C156" s="131"/>
    </row>
    <row r="158" spans="1:7" ht="15" x14ac:dyDescent="0.25">
      <c r="B158" s="154"/>
    </row>
    <row r="159" spans="1:7" ht="15" x14ac:dyDescent="0.25">
      <c r="A159" s="95"/>
      <c r="B159" s="155"/>
    </row>
    <row r="162" spans="1:1" x14ac:dyDescent="0.2">
      <c r="A162" s="63"/>
    </row>
    <row r="163" spans="1:1" x14ac:dyDescent="0.2">
      <c r="A163" s="63"/>
    </row>
  </sheetData>
  <mergeCells count="44">
    <mergeCell ref="A2:B2"/>
    <mergeCell ref="C2:D2"/>
    <mergeCell ref="A4:D4"/>
    <mergeCell ref="A10:D10"/>
    <mergeCell ref="A16:D16"/>
    <mergeCell ref="A23:D23"/>
    <mergeCell ref="A31:B31"/>
    <mergeCell ref="A33:D33"/>
    <mergeCell ref="A34:B34"/>
    <mergeCell ref="A39:B39"/>
    <mergeCell ref="A41:B41"/>
    <mergeCell ref="A50:B50"/>
    <mergeCell ref="A52:B52"/>
    <mergeCell ref="A59:B59"/>
    <mergeCell ref="A61:D61"/>
    <mergeCell ref="A62:B62"/>
    <mergeCell ref="A66:B66"/>
    <mergeCell ref="A68:D68"/>
    <mergeCell ref="A69:B69"/>
    <mergeCell ref="A73:B73"/>
    <mergeCell ref="A75:B75"/>
    <mergeCell ref="A79:B79"/>
    <mergeCell ref="A81:D81"/>
    <mergeCell ref="A82:B82"/>
    <mergeCell ref="A85:B85"/>
    <mergeCell ref="A87:D87"/>
    <mergeCell ref="A88:B88"/>
    <mergeCell ref="A98:B98"/>
    <mergeCell ref="A104:B104"/>
    <mergeCell ref="A106:D106"/>
    <mergeCell ref="A107:B107"/>
    <mergeCell ref="A110:B110"/>
    <mergeCell ref="A112:D112"/>
    <mergeCell ref="A113:B113"/>
    <mergeCell ref="A118:B118"/>
    <mergeCell ref="A144:G144"/>
    <mergeCell ref="D147:F147"/>
    <mergeCell ref="A149:C149"/>
    <mergeCell ref="A150:C150"/>
    <mergeCell ref="A122:D122"/>
    <mergeCell ref="A130:B130"/>
    <mergeCell ref="A133:D133"/>
    <mergeCell ref="A140:C140"/>
    <mergeCell ref="A142:C142"/>
  </mergeCells>
  <pageMargins left="0.59027777777777801" right="0.196527777777778" top="0.39374999999999999" bottom="0.39374999999999999" header="0.511811023622047" footer="0.511811023622047"/>
  <pageSetup paperSize="9" scale="60" orientation="portrait" horizontalDpi="300" verticalDpi="300" r:id="rId1"/>
  <rowBreaks count="2" manualBreakCount="2">
    <brk id="59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L150"/>
  <sheetViews>
    <sheetView view="pageBreakPreview" topLeftCell="D80" zoomScale="66" zoomScaleNormal="66" zoomScaleSheetLayoutView="66" workbookViewId="0">
      <selection activeCell="K109" sqref="K109"/>
    </sheetView>
  </sheetViews>
  <sheetFormatPr defaultColWidth="9.140625" defaultRowHeight="15" x14ac:dyDescent="0.25"/>
  <cols>
    <col min="1" max="1" width="4" style="156" customWidth="1"/>
    <col min="2" max="2" width="101.42578125" style="156" customWidth="1"/>
    <col min="3" max="3" width="26.5703125" style="156" customWidth="1"/>
    <col min="4" max="4" width="51.28515625" style="156" customWidth="1"/>
    <col min="5" max="5" width="70.5703125" style="156" customWidth="1"/>
    <col min="6" max="6" width="18.140625" style="156" customWidth="1"/>
    <col min="7" max="7" width="14.42578125" style="156" customWidth="1"/>
    <col min="8" max="8" width="13.7109375" style="156" customWidth="1"/>
    <col min="9" max="9" width="14.42578125" style="156" bestFit="1" customWidth="1"/>
    <col min="10" max="10" width="13.7109375" style="156" customWidth="1"/>
    <col min="11" max="11" width="13" style="156" customWidth="1"/>
    <col min="12" max="12" width="5.140625" style="156" customWidth="1"/>
    <col min="13" max="13" width="19.85546875" style="156" customWidth="1"/>
    <col min="14" max="14" width="15.140625" style="156" customWidth="1"/>
    <col min="15" max="15" width="13.42578125" style="156" customWidth="1"/>
    <col min="16" max="16" width="15.85546875" style="156" customWidth="1"/>
    <col min="17" max="1026" width="9.140625" style="156"/>
  </cols>
  <sheetData>
    <row r="1" spans="1:6" x14ac:dyDescent="0.25">
      <c r="B1" s="157" t="s">
        <v>148</v>
      </c>
      <c r="D1" s="158"/>
    </row>
    <row r="2" spans="1:6" ht="16.5" customHeight="1" x14ac:dyDescent="0.25">
      <c r="A2" s="340" t="s">
        <v>247</v>
      </c>
      <c r="B2" s="340"/>
      <c r="C2" s="340"/>
      <c r="D2" s="160"/>
    </row>
    <row r="3" spans="1:6" ht="16.5" customHeight="1" x14ac:dyDescent="0.25">
      <c r="A3" s="340" t="s">
        <v>149</v>
      </c>
      <c r="B3" s="340"/>
      <c r="C3" s="161" t="s">
        <v>139</v>
      </c>
      <c r="D3" s="162"/>
    </row>
    <row r="4" spans="1:6" ht="15.75" customHeight="1" x14ac:dyDescent="0.25">
      <c r="A4" s="341" t="s">
        <v>150</v>
      </c>
      <c r="B4" s="341"/>
      <c r="C4" s="163"/>
      <c r="D4" s="164"/>
    </row>
    <row r="5" spans="1:6" x14ac:dyDescent="0.25">
      <c r="B5" s="165" t="s">
        <v>151</v>
      </c>
      <c r="C5" s="166">
        <v>1526.68</v>
      </c>
      <c r="D5" s="158" t="s">
        <v>255</v>
      </c>
    </row>
    <row r="6" spans="1:6" x14ac:dyDescent="0.25">
      <c r="B6" s="165" t="s">
        <v>152</v>
      </c>
      <c r="C6" s="167">
        <f>0.3*C5</f>
        <v>458.00400000000002</v>
      </c>
      <c r="D6" s="158" t="s">
        <v>251</v>
      </c>
      <c r="E6" s="167">
        <f>C12+C13</f>
        <v>1984.6840000000002</v>
      </c>
      <c r="F6" s="167">
        <f>E6*0.66*0.3</f>
        <v>392.96743200000003</v>
      </c>
    </row>
    <row r="7" spans="1:6" x14ac:dyDescent="0.25">
      <c r="B7" s="165"/>
      <c r="C7" s="167"/>
      <c r="D7" s="158"/>
      <c r="E7" s="156">
        <v>1801.63</v>
      </c>
      <c r="F7" s="167">
        <f>E6*0.1075*1.6</f>
        <v>341.36564800000002</v>
      </c>
    </row>
    <row r="8" spans="1:6" ht="39.75" customHeight="1" x14ac:dyDescent="0.25">
      <c r="B8" s="157"/>
      <c r="D8" s="158"/>
    </row>
    <row r="9" spans="1:6" ht="16.5" customHeight="1" x14ac:dyDescent="0.25">
      <c r="A9" s="340" t="s">
        <v>153</v>
      </c>
      <c r="B9" s="340"/>
      <c r="C9" s="340"/>
      <c r="D9" s="298"/>
      <c r="E9" s="268" t="s">
        <v>253</v>
      </c>
      <c r="F9" s="324" t="s">
        <v>256</v>
      </c>
    </row>
    <row r="10" spans="1:6" ht="15.75" customHeight="1" x14ac:dyDescent="0.25">
      <c r="A10" s="340" t="s">
        <v>149</v>
      </c>
      <c r="B10" s="340"/>
      <c r="C10" s="168" t="s">
        <v>139</v>
      </c>
      <c r="D10" s="162"/>
      <c r="E10" s="323" t="s">
        <v>260</v>
      </c>
      <c r="F10" s="324"/>
    </row>
    <row r="11" spans="1:6" ht="13.9" customHeight="1" x14ac:dyDescent="0.25">
      <c r="A11" s="337" t="s">
        <v>150</v>
      </c>
      <c r="B11" s="337"/>
      <c r="C11" s="163"/>
      <c r="D11" s="164"/>
      <c r="E11" s="323"/>
      <c r="F11" s="324"/>
    </row>
    <row r="12" spans="1:6" x14ac:dyDescent="0.25">
      <c r="B12" s="165" t="s">
        <v>151</v>
      </c>
      <c r="C12" s="166">
        <v>1526.68</v>
      </c>
      <c r="D12" s="156" t="s">
        <v>255</v>
      </c>
      <c r="E12" s="269" t="s">
        <v>303</v>
      </c>
      <c r="F12" s="324"/>
    </row>
    <row r="13" spans="1:6" x14ac:dyDescent="0.25">
      <c r="B13" s="165" t="s">
        <v>152</v>
      </c>
      <c r="C13" s="167">
        <f>0.3*C12</f>
        <v>458.00400000000002</v>
      </c>
      <c r="D13" s="156" t="s">
        <v>251</v>
      </c>
      <c r="E13" s="270" t="s">
        <v>259</v>
      </c>
      <c r="F13" s="324"/>
    </row>
    <row r="14" spans="1:6" ht="30" x14ac:dyDescent="0.25">
      <c r="B14" s="165" t="s">
        <v>252</v>
      </c>
      <c r="C14" s="167">
        <v>392.97</v>
      </c>
      <c r="D14" s="156" t="s">
        <v>254</v>
      </c>
      <c r="E14" s="271" t="s">
        <v>261</v>
      </c>
      <c r="F14" s="324"/>
    </row>
    <row r="15" spans="1:6" x14ac:dyDescent="0.25">
      <c r="B15" s="165" t="s">
        <v>257</v>
      </c>
      <c r="C15" s="167">
        <v>341.37</v>
      </c>
      <c r="D15" s="156" t="s">
        <v>258</v>
      </c>
      <c r="E15" s="271" t="s">
        <v>304</v>
      </c>
      <c r="F15" s="324"/>
    </row>
    <row r="16" spans="1:6" x14ac:dyDescent="0.25">
      <c r="B16" s="165"/>
      <c r="C16" s="167"/>
    </row>
    <row r="17" spans="1:5" x14ac:dyDescent="0.25">
      <c r="B17" s="165"/>
      <c r="C17" s="167"/>
    </row>
    <row r="18" spans="1:5" x14ac:dyDescent="0.25">
      <c r="B18" s="165"/>
      <c r="C18" s="167"/>
    </row>
    <row r="20" spans="1:5" x14ac:dyDescent="0.25">
      <c r="B20" s="157" t="s">
        <v>154</v>
      </c>
    </row>
    <row r="21" spans="1:5" x14ac:dyDescent="0.25">
      <c r="B21" s="157" t="s">
        <v>155</v>
      </c>
    </row>
    <row r="22" spans="1:5" ht="18" customHeight="1" x14ac:dyDescent="0.25">
      <c r="A22" s="169"/>
      <c r="B22" s="168" t="s">
        <v>156</v>
      </c>
      <c r="C22" s="170" t="s">
        <v>24</v>
      </c>
      <c r="D22" s="171" t="s">
        <v>157</v>
      </c>
      <c r="E22" s="171" t="s">
        <v>158</v>
      </c>
    </row>
    <row r="23" spans="1:5" ht="30" x14ac:dyDescent="0.25">
      <c r="A23" s="172" t="s">
        <v>2</v>
      </c>
      <c r="B23" s="173" t="s">
        <v>159</v>
      </c>
      <c r="C23" s="174">
        <f>1/12</f>
        <v>8.3333333333333329E-2</v>
      </c>
      <c r="D23" s="175" t="s">
        <v>160</v>
      </c>
      <c r="E23" s="175" t="s">
        <v>161</v>
      </c>
    </row>
    <row r="24" spans="1:5" ht="35.25" customHeight="1" x14ac:dyDescent="0.25">
      <c r="A24" s="172" t="s">
        <v>4</v>
      </c>
      <c r="B24" s="173" t="s">
        <v>162</v>
      </c>
      <c r="C24" s="176">
        <f>C23/3</f>
        <v>2.7777777777777776E-2</v>
      </c>
      <c r="D24" s="177" t="s">
        <v>163</v>
      </c>
      <c r="E24" s="177" t="s">
        <v>164</v>
      </c>
    </row>
    <row r="25" spans="1:5" x14ac:dyDescent="0.25">
      <c r="A25" s="178"/>
      <c r="B25" s="179" t="s">
        <v>165</v>
      </c>
      <c r="C25" s="176">
        <f>C24+C23</f>
        <v>0.1111111111111111</v>
      </c>
      <c r="D25" s="180"/>
      <c r="E25" s="181"/>
    </row>
    <row r="26" spans="1:5" x14ac:dyDescent="0.25">
      <c r="A26" s="178"/>
      <c r="B26" s="179" t="s">
        <v>166</v>
      </c>
      <c r="C26" s="176">
        <f>C38*C25</f>
        <v>4.4222222222222225E-2</v>
      </c>
      <c r="D26" s="180"/>
      <c r="E26" s="181"/>
    </row>
    <row r="27" spans="1:5" x14ac:dyDescent="0.25">
      <c r="B27" s="157"/>
    </row>
    <row r="28" spans="1:5" ht="42.75" x14ac:dyDescent="0.25">
      <c r="B28" s="157" t="s">
        <v>167</v>
      </c>
    </row>
    <row r="29" spans="1:5" x14ac:dyDescent="0.25">
      <c r="A29" s="169"/>
      <c r="B29" s="168" t="s">
        <v>156</v>
      </c>
      <c r="C29" s="168" t="s">
        <v>24</v>
      </c>
      <c r="D29" s="168" t="s">
        <v>168</v>
      </c>
      <c r="E29" s="168" t="s">
        <v>158</v>
      </c>
    </row>
    <row r="30" spans="1:5" x14ac:dyDescent="0.25">
      <c r="A30" s="172" t="s">
        <v>2</v>
      </c>
      <c r="B30" s="173" t="s">
        <v>169</v>
      </c>
      <c r="C30" s="182">
        <v>0.2</v>
      </c>
      <c r="D30" s="183" t="s">
        <v>170</v>
      </c>
      <c r="E30" s="181" t="s">
        <v>171</v>
      </c>
    </row>
    <row r="31" spans="1:5" x14ac:dyDescent="0.25">
      <c r="A31" s="172" t="s">
        <v>4</v>
      </c>
      <c r="B31" s="173" t="s">
        <v>172</v>
      </c>
      <c r="C31" s="182">
        <v>2.5000000000000001E-2</v>
      </c>
      <c r="D31" s="183" t="s">
        <v>170</v>
      </c>
      <c r="E31" s="181" t="s">
        <v>173</v>
      </c>
    </row>
    <row r="32" spans="1:5" x14ac:dyDescent="0.25">
      <c r="A32" s="172" t="s">
        <v>7</v>
      </c>
      <c r="B32" s="173" t="s">
        <v>174</v>
      </c>
      <c r="C32" s="182">
        <v>0.06</v>
      </c>
      <c r="D32" s="183" t="s">
        <v>170</v>
      </c>
      <c r="E32" s="181" t="s">
        <v>262</v>
      </c>
    </row>
    <row r="33" spans="1:16" x14ac:dyDescent="0.25">
      <c r="A33" s="172" t="s">
        <v>9</v>
      </c>
      <c r="B33" s="173" t="s">
        <v>46</v>
      </c>
      <c r="C33" s="182">
        <v>1.4999999999999999E-2</v>
      </c>
      <c r="D33" s="183" t="s">
        <v>170</v>
      </c>
      <c r="E33" s="181" t="s">
        <v>175</v>
      </c>
    </row>
    <row r="34" spans="1:16" x14ac:dyDescent="0.25">
      <c r="A34" s="172" t="s">
        <v>30</v>
      </c>
      <c r="B34" s="173" t="s">
        <v>176</v>
      </c>
      <c r="C34" s="182">
        <v>0.01</v>
      </c>
      <c r="D34" s="183" t="s">
        <v>170</v>
      </c>
      <c r="E34" s="181" t="s">
        <v>177</v>
      </c>
    </row>
    <row r="35" spans="1:16" x14ac:dyDescent="0.25">
      <c r="A35" s="172" t="s">
        <v>32</v>
      </c>
      <c r="B35" s="173" t="s">
        <v>178</v>
      </c>
      <c r="C35" s="182">
        <v>6.0000000000000001E-3</v>
      </c>
      <c r="D35" s="183" t="s">
        <v>170</v>
      </c>
      <c r="E35" s="181" t="s">
        <v>179</v>
      </c>
    </row>
    <row r="36" spans="1:16" x14ac:dyDescent="0.25">
      <c r="A36" s="172" t="s">
        <v>33</v>
      </c>
      <c r="B36" s="173" t="s">
        <v>180</v>
      </c>
      <c r="C36" s="182">
        <v>2E-3</v>
      </c>
      <c r="D36" s="183"/>
      <c r="E36" s="181" t="s">
        <v>181</v>
      </c>
    </row>
    <row r="37" spans="1:16" x14ac:dyDescent="0.25">
      <c r="A37" s="172" t="s">
        <v>50</v>
      </c>
      <c r="B37" s="173" t="s">
        <v>182</v>
      </c>
      <c r="C37" s="182">
        <v>0.08</v>
      </c>
      <c r="D37" s="183" t="s">
        <v>170</v>
      </c>
      <c r="E37" s="181" t="s">
        <v>263</v>
      </c>
    </row>
    <row r="38" spans="1:16" x14ac:dyDescent="0.25">
      <c r="A38" s="178"/>
      <c r="B38" s="179" t="s">
        <v>183</v>
      </c>
      <c r="C38" s="184">
        <v>0.39800000000000002</v>
      </c>
    </row>
    <row r="39" spans="1:16" ht="71.25" customHeight="1" x14ac:dyDescent="0.25">
      <c r="B39" s="325" t="s">
        <v>184</v>
      </c>
      <c r="C39" s="325"/>
      <c r="D39" s="325"/>
      <c r="E39" s="325"/>
    </row>
    <row r="40" spans="1:16" ht="34.5" customHeight="1" x14ac:dyDescent="0.25">
      <c r="B40" s="325" t="s">
        <v>185</v>
      </c>
      <c r="C40" s="325"/>
      <c r="D40" s="325"/>
      <c r="E40" s="32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15.75" customHeight="1" x14ac:dyDescent="0.25">
      <c r="B41" s="157"/>
      <c r="F41" s="338" t="s">
        <v>186</v>
      </c>
      <c r="G41" s="338"/>
      <c r="H41" s="338"/>
      <c r="I41" s="338"/>
      <c r="J41" s="338"/>
      <c r="K41" s="338"/>
      <c r="L41" s="338"/>
      <c r="M41" s="338"/>
      <c r="N41" s="338"/>
      <c r="O41" s="338"/>
      <c r="P41" s="338"/>
    </row>
    <row r="42" spans="1:16" ht="15.75" customHeight="1" x14ac:dyDescent="0.25">
      <c r="B42" s="157" t="s">
        <v>187</v>
      </c>
      <c r="F42" s="339"/>
      <c r="G42" s="339"/>
      <c r="H42" s="339"/>
      <c r="I42" s="339"/>
      <c r="J42" s="339"/>
      <c r="K42" s="339"/>
      <c r="L42" s="185"/>
      <c r="M42" s="339"/>
      <c r="N42" s="339"/>
      <c r="O42" s="339"/>
      <c r="P42" s="339"/>
    </row>
    <row r="43" spans="1:16" ht="42" customHeight="1" x14ac:dyDescent="0.25">
      <c r="A43" s="186"/>
      <c r="B43" s="168" t="s">
        <v>156</v>
      </c>
      <c r="C43" s="330" t="s">
        <v>168</v>
      </c>
      <c r="D43" s="330"/>
      <c r="E43" s="187" t="s">
        <v>158</v>
      </c>
      <c r="F43" s="188" t="s">
        <v>279</v>
      </c>
      <c r="G43" s="188" t="s">
        <v>280</v>
      </c>
      <c r="H43" s="188" t="s">
        <v>281</v>
      </c>
      <c r="I43" s="188" t="s">
        <v>285</v>
      </c>
      <c r="J43" s="188" t="s">
        <v>282</v>
      </c>
      <c r="K43" s="188" t="s">
        <v>188</v>
      </c>
      <c r="L43" s="185"/>
      <c r="M43" s="189"/>
      <c r="N43" s="189"/>
      <c r="O43" s="189"/>
      <c r="P43" s="189" t="s">
        <v>188</v>
      </c>
    </row>
    <row r="44" spans="1:16" ht="105" customHeight="1" x14ac:dyDescent="0.25">
      <c r="A44" s="190" t="s">
        <v>2</v>
      </c>
      <c r="B44" s="173" t="s">
        <v>189</v>
      </c>
      <c r="C44" s="328" t="s">
        <v>190</v>
      </c>
      <c r="D44" s="328"/>
      <c r="E44" s="290" t="s">
        <v>264</v>
      </c>
      <c r="F44" s="191"/>
      <c r="G44" s="191"/>
      <c r="H44" s="191"/>
      <c r="I44" s="191"/>
      <c r="J44" s="191"/>
      <c r="K44" s="192">
        <f>ROUND(SUM(F44:H44)/3,2)</f>
        <v>0</v>
      </c>
      <c r="L44" s="193"/>
      <c r="M44" s="191"/>
      <c r="N44" s="191"/>
      <c r="O44" s="191"/>
      <c r="P44" s="191"/>
    </row>
    <row r="45" spans="1:16" ht="30" x14ac:dyDescent="0.25">
      <c r="A45" s="190" t="s">
        <v>4</v>
      </c>
      <c r="B45" s="173" t="s">
        <v>146</v>
      </c>
      <c r="C45" s="335">
        <v>474.53</v>
      </c>
      <c r="D45" s="335"/>
      <c r="E45" s="194" t="s">
        <v>265</v>
      </c>
      <c r="F45" s="195"/>
      <c r="G45" s="195"/>
      <c r="H45" s="195"/>
      <c r="I45" s="195"/>
      <c r="J45" s="195"/>
      <c r="K45" s="195"/>
      <c r="L45" s="196"/>
      <c r="M45" s="195"/>
      <c r="N45" s="195"/>
      <c r="O45" s="195"/>
      <c r="P45" s="195"/>
    </row>
    <row r="46" spans="1:16" ht="81.75" customHeight="1" x14ac:dyDescent="0.25">
      <c r="A46" s="190" t="s">
        <v>7</v>
      </c>
      <c r="B46" s="173" t="s">
        <v>266</v>
      </c>
      <c r="C46" s="327">
        <v>88</v>
      </c>
      <c r="D46" s="327"/>
      <c r="E46" s="291" t="s">
        <v>286</v>
      </c>
      <c r="F46" s="292">
        <v>49.97</v>
      </c>
      <c r="G46" s="292">
        <v>87</v>
      </c>
      <c r="H46" s="292">
        <v>49.97</v>
      </c>
      <c r="I46" s="292">
        <v>95</v>
      </c>
      <c r="J46" s="292">
        <v>89</v>
      </c>
      <c r="K46" s="197">
        <f>ROUND(SUM(F46:J46)/5,5)</f>
        <v>74.188000000000002</v>
      </c>
      <c r="L46" s="198"/>
      <c r="M46" s="199"/>
      <c r="N46" s="199"/>
      <c r="O46" s="199"/>
      <c r="P46" s="192">
        <f>ROUND(SUM(M46:O46)/3,2)</f>
        <v>0</v>
      </c>
    </row>
    <row r="47" spans="1:16" x14ac:dyDescent="0.25">
      <c r="A47" s="190" t="s">
        <v>9</v>
      </c>
      <c r="B47" s="173" t="s">
        <v>55</v>
      </c>
      <c r="C47" s="336"/>
      <c r="D47" s="336"/>
      <c r="E47" s="200"/>
      <c r="F47" s="192"/>
      <c r="G47" s="192"/>
      <c r="H47" s="192"/>
      <c r="I47" s="192"/>
      <c r="J47" s="192"/>
      <c r="K47" s="192"/>
      <c r="L47" s="198"/>
      <c r="M47" s="201"/>
      <c r="N47" s="201"/>
      <c r="O47" s="201"/>
      <c r="P47" s="192"/>
    </row>
    <row r="48" spans="1:16" ht="30" x14ac:dyDescent="0.25">
      <c r="A48" s="190" t="s">
        <v>30</v>
      </c>
      <c r="B48" s="173" t="s">
        <v>56</v>
      </c>
      <c r="C48" s="327">
        <v>15.83</v>
      </c>
      <c r="D48" s="327"/>
      <c r="E48" s="290" t="s">
        <v>287</v>
      </c>
      <c r="F48" s="292">
        <v>10</v>
      </c>
      <c r="G48" s="292">
        <v>17</v>
      </c>
      <c r="H48" s="292">
        <v>12</v>
      </c>
      <c r="I48" s="292">
        <v>20</v>
      </c>
      <c r="J48" s="292">
        <v>18.5</v>
      </c>
      <c r="K48" s="197">
        <f>ROUND(SUM(F48:J48)/5,5)</f>
        <v>15.5</v>
      </c>
      <c r="L48" s="198"/>
      <c r="M48" s="199"/>
      <c r="N48" s="199"/>
      <c r="O48" s="199"/>
      <c r="P48" s="192">
        <f>ROUND(SUM(M48:O48)/3,2)</f>
        <v>0</v>
      </c>
    </row>
    <row r="49" spans="1:10" x14ac:dyDescent="0.25">
      <c r="A49" s="190" t="s">
        <v>32</v>
      </c>
      <c r="B49" s="173" t="s">
        <v>34</v>
      </c>
      <c r="C49" s="328"/>
      <c r="D49" s="328"/>
      <c r="E49" s="202"/>
    </row>
    <row r="50" spans="1:10" x14ac:dyDescent="0.25">
      <c r="B50" s="157"/>
    </row>
    <row r="51" spans="1:10" x14ac:dyDescent="0.25">
      <c r="B51" s="157" t="s">
        <v>191</v>
      </c>
    </row>
    <row r="52" spans="1:10" x14ac:dyDescent="0.25">
      <c r="B52" s="157" t="s">
        <v>192</v>
      </c>
    </row>
    <row r="53" spans="1:10" ht="18" customHeight="1" x14ac:dyDescent="0.25">
      <c r="A53" s="186"/>
      <c r="B53" s="168" t="s">
        <v>156</v>
      </c>
      <c r="C53" s="159" t="s">
        <v>24</v>
      </c>
      <c r="D53" s="203" t="s">
        <v>157</v>
      </c>
      <c r="E53" s="203" t="s">
        <v>158</v>
      </c>
    </row>
    <row r="54" spans="1:10" ht="16.5" x14ac:dyDescent="0.25">
      <c r="A54" s="204" t="s">
        <v>2</v>
      </c>
      <c r="B54" s="205" t="s">
        <v>193</v>
      </c>
      <c r="C54" s="182">
        <f>1/12*0.1</f>
        <v>8.3333333333333332E-3</v>
      </c>
      <c r="D54" s="181" t="s">
        <v>194</v>
      </c>
      <c r="E54" s="181" t="s">
        <v>195</v>
      </c>
    </row>
    <row r="55" spans="1:10" ht="38.450000000000003" customHeight="1" x14ac:dyDescent="0.25">
      <c r="A55" s="190" t="s">
        <v>4</v>
      </c>
      <c r="B55" s="173" t="s">
        <v>70</v>
      </c>
      <c r="C55" s="182">
        <f>C54*0.08</f>
        <v>6.6666666666666664E-4</v>
      </c>
      <c r="D55" s="206" t="s">
        <v>196</v>
      </c>
      <c r="E55" s="180" t="s">
        <v>197</v>
      </c>
    </row>
    <row r="56" spans="1:10" ht="30" x14ac:dyDescent="0.25">
      <c r="A56" s="190" t="s">
        <v>7</v>
      </c>
      <c r="B56" s="173" t="s">
        <v>198</v>
      </c>
      <c r="C56" s="182">
        <f>0.08*0.5*0.1*(1+(1/12)+(1/12)+((1/3)*(1/12))+(1/12))</f>
        <v>5.1111111111111097E-3</v>
      </c>
      <c r="D56" s="207" t="s">
        <v>199</v>
      </c>
      <c r="E56" s="181" t="s">
        <v>200</v>
      </c>
      <c r="H56" s="208"/>
      <c r="I56" s="208"/>
      <c r="J56" s="208"/>
    </row>
    <row r="57" spans="1:10" x14ac:dyDescent="0.25">
      <c r="A57" s="190"/>
      <c r="B57" s="179" t="s">
        <v>201</v>
      </c>
      <c r="C57" s="182"/>
      <c r="D57" s="183"/>
      <c r="E57" s="181"/>
    </row>
    <row r="58" spans="1:10" x14ac:dyDescent="0.25">
      <c r="A58" s="209"/>
      <c r="B58" s="210"/>
      <c r="C58" s="211"/>
      <c r="D58" s="212"/>
      <c r="E58" s="162"/>
      <c r="H58" s="213"/>
      <c r="I58" s="213"/>
      <c r="J58" s="213"/>
    </row>
    <row r="59" spans="1:10" ht="54.75" customHeight="1" x14ac:dyDescent="0.25">
      <c r="A59" s="209"/>
      <c r="B59" s="329" t="s">
        <v>202</v>
      </c>
      <c r="C59" s="329"/>
      <c r="D59" s="329"/>
      <c r="E59" s="329"/>
    </row>
    <row r="60" spans="1:10" ht="65.45" customHeight="1" x14ac:dyDescent="0.25">
      <c r="A60" s="209"/>
      <c r="B60" s="329" t="s">
        <v>203</v>
      </c>
      <c r="C60" s="329"/>
      <c r="D60" s="329"/>
      <c r="E60" s="329"/>
    </row>
    <row r="61" spans="1:10" x14ac:dyDescent="0.25">
      <c r="B61" s="157"/>
    </row>
    <row r="62" spans="1:10" x14ac:dyDescent="0.25">
      <c r="B62" s="157" t="s">
        <v>204</v>
      </c>
    </row>
    <row r="63" spans="1:10" x14ac:dyDescent="0.25">
      <c r="A63" s="186"/>
      <c r="B63" s="168" t="s">
        <v>156</v>
      </c>
      <c r="C63" s="159" t="s">
        <v>24</v>
      </c>
      <c r="D63" s="203" t="s">
        <v>157</v>
      </c>
      <c r="E63" s="203" t="s">
        <v>158</v>
      </c>
    </row>
    <row r="64" spans="1:10" ht="16.5" x14ac:dyDescent="0.25">
      <c r="A64" s="190" t="s">
        <v>2</v>
      </c>
      <c r="B64" s="214" t="s">
        <v>205</v>
      </c>
      <c r="C64" s="182">
        <f>((7/30)/12)</f>
        <v>1.9444444444444445E-2</v>
      </c>
      <c r="D64" s="181" t="s">
        <v>206</v>
      </c>
      <c r="E64" s="215" t="s">
        <v>207</v>
      </c>
    </row>
    <row r="65" spans="1:1022" x14ac:dyDescent="0.25">
      <c r="A65" s="190" t="s">
        <v>4</v>
      </c>
      <c r="B65" s="214" t="s">
        <v>75</v>
      </c>
      <c r="C65" s="182">
        <f>C64*C38</f>
        <v>7.7388888888888898E-3</v>
      </c>
      <c r="D65" s="177" t="s">
        <v>208</v>
      </c>
      <c r="E65" s="181"/>
    </row>
    <row r="66" spans="1:1022" ht="16.5" x14ac:dyDescent="0.25">
      <c r="A66" s="190" t="s">
        <v>7</v>
      </c>
      <c r="B66" s="214" t="s">
        <v>209</v>
      </c>
      <c r="C66" s="216">
        <f>0.08*0.5*0.9*(1+(1/12)+(1/12+1/3*1/12))</f>
        <v>4.3000000000000003E-2</v>
      </c>
      <c r="D66" s="217" t="s">
        <v>210</v>
      </c>
      <c r="E66" s="218" t="s">
        <v>211</v>
      </c>
    </row>
    <row r="67" spans="1:1022" x14ac:dyDescent="0.25">
      <c r="A67" s="178"/>
      <c r="B67" s="214" t="s">
        <v>212</v>
      </c>
      <c r="C67" s="184"/>
      <c r="D67" s="219"/>
      <c r="E67" s="220"/>
    </row>
    <row r="68" spans="1:1022" x14ac:dyDescent="0.25">
      <c r="A68" s="158"/>
      <c r="B68" s="210"/>
      <c r="C68" s="221"/>
      <c r="D68" s="222"/>
      <c r="E68" s="219"/>
    </row>
    <row r="69" spans="1:1022" ht="44.45" customHeight="1" x14ac:dyDescent="0.25">
      <c r="A69" s="158"/>
      <c r="B69" s="329" t="s">
        <v>213</v>
      </c>
      <c r="C69" s="329"/>
      <c r="D69" s="329"/>
      <c r="E69" s="329"/>
    </row>
    <row r="70" spans="1:1022" ht="34.9" customHeight="1" x14ac:dyDescent="0.25">
      <c r="A70" s="158"/>
      <c r="B70" s="329" t="s">
        <v>214</v>
      </c>
      <c r="C70" s="329"/>
      <c r="D70" s="329"/>
      <c r="E70" s="329"/>
    </row>
    <row r="71" spans="1:1022" x14ac:dyDescent="0.25">
      <c r="A71" s="158"/>
      <c r="B71" s="210"/>
      <c r="C71" s="221"/>
      <c r="D71" s="219"/>
      <c r="E71" s="219"/>
    </row>
    <row r="72" spans="1:1022" x14ac:dyDescent="0.25">
      <c r="A72" s="158"/>
      <c r="B72" s="210"/>
      <c r="C72" s="221"/>
      <c r="D72" s="219"/>
      <c r="E72" s="219"/>
    </row>
    <row r="73" spans="1:1022" s="223" customFormat="1" x14ac:dyDescent="0.25">
      <c r="A73" s="156"/>
      <c r="B73" s="157" t="s">
        <v>215</v>
      </c>
      <c r="C73" s="162"/>
      <c r="D73" s="162"/>
      <c r="E73" s="162"/>
      <c r="F73" s="156"/>
      <c r="L73" s="156"/>
      <c r="Q73" s="156"/>
      <c r="V73" s="156"/>
      <c r="AA73" s="156"/>
      <c r="AF73" s="156"/>
      <c r="AK73" s="156"/>
      <c r="AP73" s="156"/>
      <c r="AU73" s="156"/>
      <c r="AZ73" s="156"/>
      <c r="BE73" s="156"/>
      <c r="BJ73" s="156"/>
      <c r="BO73" s="156"/>
      <c r="BT73" s="156"/>
      <c r="BY73" s="156"/>
      <c r="CD73" s="156"/>
      <c r="CI73" s="156"/>
      <c r="CN73" s="156"/>
      <c r="CS73" s="156"/>
      <c r="CX73" s="156"/>
      <c r="DC73" s="156"/>
      <c r="DH73" s="156"/>
      <c r="DM73" s="156"/>
      <c r="DR73" s="156"/>
      <c r="DW73" s="156"/>
      <c r="EB73" s="156"/>
      <c r="EG73" s="156"/>
      <c r="EL73" s="156"/>
      <c r="EQ73" s="156"/>
      <c r="EV73" s="156"/>
      <c r="FA73" s="156"/>
      <c r="FF73" s="156"/>
      <c r="FK73" s="156"/>
      <c r="FP73" s="156"/>
      <c r="FU73" s="156"/>
      <c r="FZ73" s="156"/>
      <c r="GE73" s="156"/>
      <c r="GJ73" s="156"/>
      <c r="GO73" s="156"/>
      <c r="GT73" s="156"/>
      <c r="GY73" s="156"/>
      <c r="HD73" s="156"/>
      <c r="HI73" s="156"/>
      <c r="HN73" s="156"/>
      <c r="HS73" s="156"/>
      <c r="HX73" s="156"/>
      <c r="IC73" s="156"/>
      <c r="IH73" s="156"/>
      <c r="IM73" s="156"/>
      <c r="IR73" s="156"/>
      <c r="IW73" s="156"/>
      <c r="JB73" s="156"/>
      <c r="JG73" s="156"/>
      <c r="JL73" s="156"/>
      <c r="JQ73" s="156"/>
      <c r="JV73" s="156"/>
      <c r="KA73" s="156"/>
      <c r="KF73" s="156"/>
      <c r="KK73" s="156"/>
      <c r="KP73" s="156"/>
      <c r="KU73" s="156"/>
      <c r="KZ73" s="156"/>
      <c r="LE73" s="156"/>
      <c r="LJ73" s="156"/>
      <c r="LO73" s="156"/>
      <c r="LT73" s="156"/>
      <c r="LY73" s="156"/>
      <c r="MD73" s="156"/>
      <c r="MI73" s="156"/>
      <c r="MN73" s="156"/>
      <c r="MS73" s="156"/>
      <c r="MX73" s="156"/>
      <c r="NC73" s="156"/>
      <c r="NH73" s="156"/>
      <c r="NM73" s="156"/>
      <c r="NR73" s="156"/>
      <c r="NW73" s="156"/>
      <c r="OB73" s="156"/>
      <c r="OG73" s="156"/>
      <c r="OL73" s="156"/>
      <c r="OQ73" s="156"/>
      <c r="OV73" s="156"/>
      <c r="PA73" s="156"/>
      <c r="PF73" s="156"/>
      <c r="PK73" s="156"/>
      <c r="PP73" s="156"/>
      <c r="PU73" s="156"/>
      <c r="PZ73" s="156"/>
      <c r="QE73" s="156"/>
      <c r="QJ73" s="156"/>
      <c r="QO73" s="156"/>
      <c r="QT73" s="156"/>
      <c r="QY73" s="156"/>
      <c r="RD73" s="156"/>
      <c r="RI73" s="156"/>
      <c r="RN73" s="156"/>
      <c r="RS73" s="156"/>
      <c r="RX73" s="156"/>
      <c r="SC73" s="156"/>
      <c r="SH73" s="156"/>
      <c r="SM73" s="156"/>
      <c r="SR73" s="156"/>
      <c r="SW73" s="156"/>
      <c r="TB73" s="156"/>
      <c r="TG73" s="156"/>
      <c r="TL73" s="156"/>
      <c r="TQ73" s="156"/>
      <c r="TV73" s="156"/>
      <c r="UA73" s="156"/>
      <c r="UF73" s="156"/>
      <c r="UK73" s="156"/>
      <c r="UP73" s="156"/>
      <c r="UU73" s="156"/>
      <c r="UZ73" s="156"/>
      <c r="VE73" s="156"/>
      <c r="VJ73" s="156"/>
      <c r="VO73" s="156"/>
      <c r="VT73" s="156"/>
      <c r="VY73" s="156"/>
      <c r="WD73" s="156"/>
      <c r="WI73" s="156"/>
      <c r="WN73" s="156"/>
      <c r="WS73" s="156"/>
      <c r="WX73" s="156"/>
      <c r="XC73" s="156"/>
      <c r="XH73" s="156"/>
      <c r="XM73" s="156"/>
      <c r="XR73" s="156"/>
      <c r="XW73" s="156"/>
      <c r="YB73" s="156"/>
      <c r="YG73" s="156"/>
      <c r="YL73" s="156"/>
      <c r="YQ73" s="156"/>
      <c r="YV73" s="156"/>
      <c r="ZA73" s="156"/>
      <c r="ZF73" s="156"/>
      <c r="ZK73" s="156"/>
      <c r="ZP73" s="156"/>
      <c r="ZU73" s="156"/>
      <c r="ZZ73" s="156"/>
      <c r="AAE73" s="156"/>
      <c r="AAJ73" s="156"/>
      <c r="AAO73" s="156"/>
      <c r="AAT73" s="156"/>
      <c r="AAY73" s="156"/>
      <c r="ABD73" s="156"/>
      <c r="ABI73" s="156"/>
      <c r="ABN73" s="156"/>
      <c r="ABS73" s="156"/>
      <c r="ABX73" s="156"/>
      <c r="ACC73" s="156"/>
      <c r="ACH73" s="156"/>
      <c r="ACM73" s="156"/>
      <c r="ACR73" s="156"/>
      <c r="ACW73" s="156"/>
      <c r="ADB73" s="156"/>
      <c r="ADG73" s="156"/>
      <c r="ADL73" s="156"/>
      <c r="ADQ73" s="156"/>
      <c r="ADV73" s="156"/>
      <c r="AEA73" s="156"/>
      <c r="AEF73" s="156"/>
      <c r="AEK73" s="156"/>
      <c r="AEP73" s="156"/>
      <c r="AEU73" s="156"/>
      <c r="AEZ73" s="156"/>
      <c r="AFE73" s="156"/>
      <c r="AFJ73" s="156"/>
      <c r="AFO73" s="156"/>
      <c r="AFT73" s="156"/>
      <c r="AFY73" s="156"/>
      <c r="AGD73" s="156"/>
      <c r="AGI73" s="156"/>
      <c r="AGN73" s="156"/>
      <c r="AGS73" s="156"/>
      <c r="AGX73" s="156"/>
      <c r="AHC73" s="156"/>
      <c r="AHH73" s="156"/>
      <c r="AHM73" s="156"/>
      <c r="AHR73" s="156"/>
      <c r="AHW73" s="156"/>
      <c r="AIB73" s="156"/>
      <c r="AIG73" s="156"/>
      <c r="AIL73" s="156"/>
      <c r="AIQ73" s="156"/>
      <c r="AIV73" s="156"/>
      <c r="AJA73" s="156"/>
      <c r="AJF73" s="156"/>
      <c r="AJK73" s="156"/>
      <c r="AJP73" s="156"/>
      <c r="AJU73" s="156"/>
      <c r="AJZ73" s="156"/>
      <c r="AKE73" s="156"/>
      <c r="AKJ73" s="156"/>
      <c r="AKO73" s="156"/>
      <c r="AKT73" s="156"/>
      <c r="AKY73" s="156"/>
      <c r="ALD73" s="156"/>
      <c r="ALI73" s="156"/>
      <c r="ALN73" s="156"/>
      <c r="ALS73" s="156"/>
      <c r="ALX73" s="156"/>
      <c r="AMC73" s="156"/>
      <c r="AMH73" s="156"/>
    </row>
    <row r="74" spans="1:1022" x14ac:dyDescent="0.25">
      <c r="A74" s="224"/>
      <c r="B74" s="224"/>
      <c r="C74" s="224"/>
      <c r="D74" s="224"/>
      <c r="E74" s="224"/>
    </row>
    <row r="75" spans="1:1022" x14ac:dyDescent="0.25">
      <c r="B75" s="157" t="s">
        <v>86</v>
      </c>
      <c r="C75" s="225"/>
      <c r="D75" s="225"/>
      <c r="E75" s="225"/>
    </row>
    <row r="76" spans="1:1022" x14ac:dyDescent="0.25">
      <c r="A76" s="186"/>
      <c r="B76" s="168" t="s">
        <v>156</v>
      </c>
      <c r="C76" s="159" t="s">
        <v>24</v>
      </c>
      <c r="D76" s="203" t="s">
        <v>157</v>
      </c>
      <c r="E76" s="203" t="s">
        <v>158</v>
      </c>
    </row>
    <row r="77" spans="1:1022" x14ac:dyDescent="0.25">
      <c r="A77" s="190" t="s">
        <v>2</v>
      </c>
      <c r="B77" s="173" t="s">
        <v>216</v>
      </c>
      <c r="C77" s="284">
        <f>1/12</f>
        <v>8.3333333333333329E-2</v>
      </c>
      <c r="D77" s="285" t="s">
        <v>160</v>
      </c>
      <c r="E77" s="215" t="s">
        <v>217</v>
      </c>
      <c r="G77" s="226"/>
    </row>
    <row r="78" spans="1:1022" x14ac:dyDescent="0.25">
      <c r="A78" s="190" t="s">
        <v>4</v>
      </c>
      <c r="B78" s="173" t="s">
        <v>88</v>
      </c>
      <c r="C78" s="284">
        <f>C77*C38</f>
        <v>3.3166666666666664E-2</v>
      </c>
      <c r="D78" s="286"/>
      <c r="E78" s="181"/>
    </row>
    <row r="79" spans="1:1022" ht="16.5" x14ac:dyDescent="0.25">
      <c r="A79" s="190" t="s">
        <v>7</v>
      </c>
      <c r="B79" s="173" t="s">
        <v>218</v>
      </c>
      <c r="C79" s="284">
        <f>(1/30)/12</f>
        <v>2.7777777777777779E-3</v>
      </c>
      <c r="D79" s="287" t="s">
        <v>219</v>
      </c>
      <c r="E79" s="181" t="s">
        <v>220</v>
      </c>
      <c r="K79" s="213"/>
    </row>
    <row r="80" spans="1:1022" ht="75" customHeight="1" x14ac:dyDescent="0.25">
      <c r="A80" s="190" t="s">
        <v>9</v>
      </c>
      <c r="B80" s="173" t="s">
        <v>221</v>
      </c>
      <c r="C80" s="284">
        <f>(((0.1531*2+0.0301*2*(252/365)+0.0163*3+0.02*1+0.004*1+0.0003*6)/30)/12)</f>
        <v>1.1735076103500763E-3</v>
      </c>
      <c r="D80" s="288" t="s">
        <v>292</v>
      </c>
      <c r="E80" s="181" t="s">
        <v>222</v>
      </c>
      <c r="K80" s="213"/>
    </row>
    <row r="81" spans="1:14" ht="16.5" x14ac:dyDescent="0.25">
      <c r="A81" s="190" t="s">
        <v>30</v>
      </c>
      <c r="B81" s="173" t="s">
        <v>223</v>
      </c>
      <c r="C81" s="284">
        <f>((1*5*(252/365))/30)/12</f>
        <v>9.5890410958904115E-3</v>
      </c>
      <c r="D81" s="287" t="s">
        <v>291</v>
      </c>
      <c r="E81" s="181" t="s">
        <v>224</v>
      </c>
      <c r="K81" s="213"/>
    </row>
    <row r="82" spans="1:14" ht="30" x14ac:dyDescent="0.25">
      <c r="A82" s="190" t="s">
        <v>32</v>
      </c>
      <c r="B82" s="173" t="s">
        <v>225</v>
      </c>
      <c r="C82" s="284">
        <f>((5/30)/12)*0.042*(252/365)</f>
        <v>4.0273972602739732E-4</v>
      </c>
      <c r="D82" s="287" t="s">
        <v>298</v>
      </c>
      <c r="E82" s="181" t="s">
        <v>226</v>
      </c>
      <c r="K82" s="213"/>
    </row>
    <row r="83" spans="1:14" ht="16.5" x14ac:dyDescent="0.25">
      <c r="A83" s="190" t="s">
        <v>33</v>
      </c>
      <c r="B83" s="173" t="s">
        <v>227</v>
      </c>
      <c r="C83" s="284">
        <f>((15/30)/12*(0.1642*(252/365)))</f>
        <v>4.723561643835617E-3</v>
      </c>
      <c r="D83" s="289" t="s">
        <v>290</v>
      </c>
      <c r="E83" s="181" t="s">
        <v>228</v>
      </c>
      <c r="H83" s="226"/>
      <c r="I83" s="226"/>
      <c r="J83" s="226"/>
      <c r="K83" s="213"/>
    </row>
    <row r="84" spans="1:14" ht="45" x14ac:dyDescent="0.25">
      <c r="A84" s="190" t="s">
        <v>50</v>
      </c>
      <c r="B84" s="173" t="s">
        <v>229</v>
      </c>
      <c r="C84" s="284">
        <f>((1+(1/3))*((4/12))/12*(0.0038*(252/365)))</f>
        <v>9.7168949771689507E-5</v>
      </c>
      <c r="D84" s="287" t="s">
        <v>299</v>
      </c>
      <c r="E84" s="215" t="s">
        <v>230</v>
      </c>
    </row>
    <row r="85" spans="1:14" ht="39" customHeight="1" x14ac:dyDescent="0.25">
      <c r="A85" s="190" t="s">
        <v>95</v>
      </c>
      <c r="B85" s="173" t="s">
        <v>96</v>
      </c>
      <c r="C85" s="182">
        <f>SUM(C79:C84)*C38</f>
        <v>7.4679911278538822E-3</v>
      </c>
      <c r="D85" s="181"/>
      <c r="E85" s="215"/>
      <c r="H85" s="227"/>
      <c r="I85" s="227"/>
      <c r="J85" s="227"/>
    </row>
    <row r="86" spans="1:14" x14ac:dyDescent="0.25">
      <c r="A86" s="178"/>
      <c r="B86" s="179" t="s">
        <v>231</v>
      </c>
      <c r="C86" s="184">
        <f>SUM(C77:C85)</f>
        <v>0.14273178793150681</v>
      </c>
      <c r="D86" s="220"/>
      <c r="E86" s="220"/>
      <c r="H86" s="227"/>
      <c r="I86" s="227"/>
      <c r="J86" s="227"/>
    </row>
    <row r="87" spans="1:14" x14ac:dyDescent="0.25">
      <c r="A87" s="228"/>
      <c r="B87" s="229"/>
      <c r="C87" s="229"/>
      <c r="D87" s="229"/>
      <c r="E87" s="229"/>
    </row>
    <row r="88" spans="1:14" ht="66.75" customHeight="1" x14ac:dyDescent="0.25">
      <c r="A88" s="229"/>
      <c r="B88" s="334" t="s">
        <v>293</v>
      </c>
      <c r="C88" s="334"/>
      <c r="D88" s="334"/>
      <c r="E88" s="334"/>
      <c r="G88" s="230"/>
      <c r="H88" s="208"/>
      <c r="I88" s="208"/>
      <c r="J88" s="208"/>
      <c r="N88" s="231"/>
    </row>
    <row r="89" spans="1:14" ht="76.5" customHeight="1" x14ac:dyDescent="0.25">
      <c r="A89" s="158"/>
      <c r="B89" s="334" t="s">
        <v>294</v>
      </c>
      <c r="C89" s="334"/>
      <c r="D89" s="334"/>
      <c r="E89" s="334"/>
      <c r="H89" s="208"/>
      <c r="I89" s="208"/>
      <c r="J89" s="208"/>
    </row>
    <row r="90" spans="1:14" ht="48.6" customHeight="1" x14ac:dyDescent="0.25">
      <c r="A90" s="158"/>
      <c r="B90" s="334" t="s">
        <v>295</v>
      </c>
      <c r="C90" s="334"/>
      <c r="D90" s="334"/>
      <c r="E90" s="334"/>
      <c r="G90" s="208"/>
      <c r="K90" s="232"/>
    </row>
    <row r="91" spans="1:14" ht="83.45" customHeight="1" x14ac:dyDescent="0.25">
      <c r="A91" s="158"/>
      <c r="B91" s="334" t="s">
        <v>296</v>
      </c>
      <c r="C91" s="334"/>
      <c r="D91" s="334"/>
      <c r="E91" s="334"/>
      <c r="M91" s="233"/>
    </row>
    <row r="92" spans="1:14" ht="68.25" customHeight="1" x14ac:dyDescent="0.25">
      <c r="A92" s="158"/>
      <c r="B92" s="325" t="s">
        <v>297</v>
      </c>
      <c r="C92" s="325"/>
      <c r="D92" s="325"/>
      <c r="E92" s="325"/>
    </row>
    <row r="93" spans="1:14" ht="90" customHeight="1" x14ac:dyDescent="0.25">
      <c r="B93" s="325" t="s">
        <v>300</v>
      </c>
      <c r="C93" s="325"/>
      <c r="D93" s="325"/>
      <c r="E93" s="325"/>
      <c r="N93" s="231"/>
    </row>
    <row r="94" spans="1:14" x14ac:dyDescent="0.25">
      <c r="A94" s="158"/>
      <c r="B94" s="160"/>
      <c r="C94" s="158"/>
      <c r="D94" s="158"/>
      <c r="E94" s="158"/>
    </row>
    <row r="95" spans="1:14" x14ac:dyDescent="0.25">
      <c r="A95" s="158"/>
      <c r="B95" s="160"/>
      <c r="C95" s="158"/>
      <c r="D95" s="158"/>
      <c r="E95" s="158"/>
      <c r="G95" s="213"/>
    </row>
    <row r="96" spans="1:14" x14ac:dyDescent="0.25">
      <c r="A96" s="234"/>
      <c r="B96" s="157" t="s">
        <v>269</v>
      </c>
      <c r="C96" s="225"/>
      <c r="D96" s="225"/>
      <c r="E96" s="225"/>
      <c r="H96" s="235"/>
      <c r="I96" s="235"/>
      <c r="J96" s="235"/>
    </row>
    <row r="97" spans="1:14" ht="16.149999999999999" customHeight="1" x14ac:dyDescent="0.25">
      <c r="A97" s="186"/>
      <c r="B97" s="168" t="s">
        <v>156</v>
      </c>
      <c r="C97" s="159" t="s">
        <v>24</v>
      </c>
      <c r="D97" s="203" t="s">
        <v>157</v>
      </c>
      <c r="E97" s="203" t="s">
        <v>158</v>
      </c>
    </row>
    <row r="98" spans="1:14" x14ac:dyDescent="0.25">
      <c r="A98" s="190" t="s">
        <v>2</v>
      </c>
      <c r="B98" s="173" t="s">
        <v>99</v>
      </c>
      <c r="C98" s="273">
        <f>(100/220)*15/100*1.5</f>
        <v>0.10227272727272727</v>
      </c>
      <c r="D98" s="207" t="s">
        <v>274</v>
      </c>
      <c r="E98" s="181" t="s">
        <v>271</v>
      </c>
      <c r="N98" s="231"/>
    </row>
    <row r="99" spans="1:14" x14ac:dyDescent="0.25">
      <c r="A99" s="190" t="s">
        <v>4</v>
      </c>
      <c r="B99" s="173" t="s">
        <v>100</v>
      </c>
      <c r="C99" s="274">
        <f>0.398*C98</f>
        <v>4.0704545454545452E-2</v>
      </c>
      <c r="D99" s="207" t="s">
        <v>272</v>
      </c>
      <c r="E99" s="181"/>
    </row>
    <row r="100" spans="1:14" x14ac:dyDescent="0.25">
      <c r="A100" s="178"/>
      <c r="B100" s="272" t="s">
        <v>270</v>
      </c>
      <c r="C100" s="275">
        <f>SUM(C98+C99)</f>
        <v>0.14297727272727273</v>
      </c>
      <c r="D100" s="220"/>
      <c r="E100" s="220"/>
    </row>
    <row r="101" spans="1:14" x14ac:dyDescent="0.25">
      <c r="A101" s="158"/>
      <c r="B101" s="210"/>
      <c r="C101" s="221"/>
      <c r="D101" s="219"/>
      <c r="E101" s="219"/>
    </row>
    <row r="102" spans="1:14" x14ac:dyDescent="0.25">
      <c r="A102" s="158"/>
      <c r="B102" s="210"/>
      <c r="C102" s="221"/>
      <c r="D102" s="219"/>
      <c r="E102" s="219"/>
    </row>
    <row r="103" spans="1:14" x14ac:dyDescent="0.25">
      <c r="B103" s="157"/>
      <c r="F103" s="189"/>
      <c r="G103" s="189"/>
      <c r="H103" s="189"/>
      <c r="I103" s="189"/>
      <c r="J103" s="189"/>
      <c r="K103" s="189"/>
    </row>
    <row r="104" spans="1:14" x14ac:dyDescent="0.25">
      <c r="B104" s="157" t="s">
        <v>232</v>
      </c>
      <c r="F104" s="191"/>
      <c r="G104" s="191"/>
      <c r="H104" s="191"/>
      <c r="I104" s="191"/>
      <c r="J104" s="191"/>
      <c r="K104" s="192"/>
      <c r="N104" s="231"/>
    </row>
    <row r="105" spans="1:14" ht="15.75" customHeight="1" x14ac:dyDescent="0.25">
      <c r="A105" s="236"/>
      <c r="B105" s="237" t="s">
        <v>156</v>
      </c>
      <c r="C105" s="326" t="s">
        <v>168</v>
      </c>
      <c r="D105" s="326"/>
      <c r="E105" s="170" t="s">
        <v>158</v>
      </c>
      <c r="F105" s="192"/>
      <c r="G105" s="192"/>
      <c r="H105" s="192"/>
      <c r="I105" s="192"/>
      <c r="J105" s="192"/>
      <c r="K105" s="192"/>
      <c r="L105" s="213"/>
      <c r="M105" s="238"/>
    </row>
    <row r="106" spans="1:14" ht="39.75" customHeight="1" x14ac:dyDescent="0.25">
      <c r="A106" s="331" t="s">
        <v>2</v>
      </c>
      <c r="B106" s="332" t="s">
        <v>233</v>
      </c>
      <c r="C106" s="239">
        <v>26.15</v>
      </c>
      <c r="D106" s="240" t="s">
        <v>283</v>
      </c>
      <c r="E106" s="333" t="s">
        <v>284</v>
      </c>
      <c r="F106" s="192"/>
      <c r="G106" s="192"/>
      <c r="H106" s="192"/>
      <c r="I106" s="192"/>
      <c r="J106" s="192"/>
      <c r="K106" s="192"/>
    </row>
    <row r="107" spans="1:14" s="158" customFormat="1" ht="56.25" customHeight="1" x14ac:dyDescent="0.25">
      <c r="A107" s="331"/>
      <c r="B107" s="332"/>
      <c r="C107" s="241"/>
      <c r="D107" s="240"/>
      <c r="E107" s="333"/>
      <c r="F107" s="192"/>
      <c r="G107" s="192"/>
      <c r="H107" s="192"/>
      <c r="I107" s="192"/>
      <c r="J107" s="192"/>
      <c r="K107" s="192"/>
    </row>
    <row r="108" spans="1:14" ht="87.75" customHeight="1" x14ac:dyDescent="0.25">
      <c r="A108" s="204" t="s">
        <v>4</v>
      </c>
      <c r="B108" s="242" t="s">
        <v>110</v>
      </c>
      <c r="C108" s="283">
        <v>16.760000000000002</v>
      </c>
      <c r="D108" s="243" t="s">
        <v>283</v>
      </c>
      <c r="E108" s="244" t="s">
        <v>289</v>
      </c>
      <c r="F108" s="321" t="s">
        <v>234</v>
      </c>
      <c r="G108" s="321"/>
      <c r="H108" s="321"/>
      <c r="I108" s="276"/>
      <c r="J108" s="276"/>
      <c r="K108" s="245">
        <v>29.86</v>
      </c>
      <c r="L108" s="158"/>
      <c r="M108" s="246" t="s">
        <v>235</v>
      </c>
    </row>
    <row r="109" spans="1:14" x14ac:dyDescent="0.25">
      <c r="A109" s="209"/>
      <c r="B109" s="247"/>
      <c r="C109" s="248" t="s">
        <v>236</v>
      </c>
      <c r="D109" s="248"/>
      <c r="E109" s="249"/>
      <c r="N109" s="231"/>
    </row>
    <row r="110" spans="1:14" x14ac:dyDescent="0.25">
      <c r="A110" s="158"/>
      <c r="B110" s="250"/>
      <c r="C110" s="221"/>
    </row>
    <row r="111" spans="1:14" x14ac:dyDescent="0.25">
      <c r="B111" s="251" t="s">
        <v>237</v>
      </c>
      <c r="C111" s="252"/>
      <c r="D111" s="252"/>
      <c r="E111" s="253"/>
    </row>
    <row r="112" spans="1:14" x14ac:dyDescent="0.25">
      <c r="B112" s="254"/>
      <c r="C112" s="252"/>
      <c r="D112" s="252"/>
      <c r="E112" s="253"/>
    </row>
    <row r="113" spans="2:14" x14ac:dyDescent="0.25">
      <c r="B113" s="255" t="s">
        <v>277</v>
      </c>
      <c r="C113" s="158"/>
      <c r="D113" s="158"/>
      <c r="E113" s="256"/>
    </row>
    <row r="114" spans="2:14" x14ac:dyDescent="0.25">
      <c r="B114" s="257"/>
      <c r="C114" s="158"/>
      <c r="D114" s="158"/>
      <c r="E114" s="256"/>
      <c r="N114" s="231"/>
    </row>
    <row r="115" spans="2:14" ht="44.25" customHeight="1" x14ac:dyDescent="0.25">
      <c r="B115" s="322" t="s">
        <v>278</v>
      </c>
      <c r="C115" s="322"/>
      <c r="D115" s="322"/>
      <c r="E115" s="322"/>
    </row>
    <row r="116" spans="2:14" x14ac:dyDescent="0.25">
      <c r="B116" s="255"/>
      <c r="C116" s="158"/>
      <c r="D116" s="158"/>
      <c r="E116" s="256"/>
    </row>
    <row r="117" spans="2:14" x14ac:dyDescent="0.25">
      <c r="B117" s="255" t="s">
        <v>238</v>
      </c>
      <c r="C117" s="158"/>
      <c r="D117" s="158"/>
      <c r="E117" s="256"/>
    </row>
    <row r="118" spans="2:14" ht="41.25" customHeight="1" x14ac:dyDescent="0.25">
      <c r="B118" s="322" t="s">
        <v>302</v>
      </c>
      <c r="C118" s="322"/>
      <c r="D118" s="322"/>
      <c r="E118" s="322"/>
    </row>
    <row r="119" spans="2:14" ht="28.9" customHeight="1" x14ac:dyDescent="0.25">
      <c r="B119" s="322" t="s">
        <v>239</v>
      </c>
      <c r="C119" s="322"/>
      <c r="D119" s="322"/>
      <c r="E119" s="322"/>
      <c r="N119" s="231"/>
    </row>
    <row r="120" spans="2:14" ht="25.5" customHeight="1" x14ac:dyDescent="0.25">
      <c r="B120" s="203" t="s">
        <v>156</v>
      </c>
      <c r="C120" s="168" t="s">
        <v>24</v>
      </c>
      <c r="D120" s="162"/>
      <c r="E120" s="258"/>
    </row>
    <row r="121" spans="2:14" ht="40.5" customHeight="1" x14ac:dyDescent="0.25">
      <c r="B121" s="259" t="s">
        <v>276</v>
      </c>
      <c r="C121" s="284">
        <v>7.3300000000000004E-2</v>
      </c>
      <c r="D121" s="162"/>
      <c r="E121" s="258"/>
    </row>
    <row r="122" spans="2:14" ht="25.5" customHeight="1" x14ac:dyDescent="0.25">
      <c r="B122" s="259" t="s">
        <v>240</v>
      </c>
      <c r="C122" s="284">
        <v>7.8600000000000003E-2</v>
      </c>
      <c r="D122" s="162"/>
      <c r="E122" s="258"/>
    </row>
    <row r="123" spans="2:14" ht="25.5" customHeight="1" x14ac:dyDescent="0.25">
      <c r="B123" s="259" t="s">
        <v>241</v>
      </c>
      <c r="C123" s="182"/>
      <c r="D123" s="162"/>
      <c r="E123" s="258"/>
    </row>
    <row r="124" spans="2:14" ht="39" customHeight="1" x14ac:dyDescent="0.25">
      <c r="B124" s="259" t="s">
        <v>301</v>
      </c>
      <c r="C124" s="182">
        <v>9.2499999999999999E-2</v>
      </c>
      <c r="D124" s="162"/>
      <c r="E124" s="258"/>
      <c r="N124" s="231"/>
    </row>
    <row r="125" spans="2:14" ht="25.5" customHeight="1" x14ac:dyDescent="0.25">
      <c r="B125" s="259" t="s">
        <v>242</v>
      </c>
      <c r="C125" s="182"/>
      <c r="D125" s="162"/>
      <c r="E125" s="258"/>
    </row>
    <row r="126" spans="2:14" ht="25.5" customHeight="1" x14ac:dyDescent="0.25">
      <c r="B126" s="259" t="s">
        <v>120</v>
      </c>
      <c r="C126" s="182">
        <v>0.05</v>
      </c>
      <c r="D126" s="162"/>
      <c r="E126" s="258"/>
    </row>
    <row r="127" spans="2:14" x14ac:dyDescent="0.25">
      <c r="B127" s="260"/>
      <c r="C127" s="158"/>
      <c r="D127" s="158"/>
      <c r="E127" s="256"/>
    </row>
    <row r="128" spans="2:14" x14ac:dyDescent="0.25">
      <c r="B128" s="260" t="s">
        <v>243</v>
      </c>
      <c r="C128" s="158"/>
      <c r="D128" s="158"/>
      <c r="E128" s="256"/>
    </row>
    <row r="129" spans="2:14" ht="28.5" x14ac:dyDescent="0.25">
      <c r="B129" s="261" t="s">
        <v>244</v>
      </c>
      <c r="C129" s="262"/>
      <c r="D129" s="262"/>
      <c r="E129" s="263"/>
      <c r="N129" s="231"/>
    </row>
    <row r="134" spans="2:14" x14ac:dyDescent="0.25">
      <c r="N134" s="231"/>
    </row>
    <row r="138" spans="2:14" x14ac:dyDescent="0.25">
      <c r="B138" s="264"/>
    </row>
    <row r="139" spans="2:14" x14ac:dyDescent="0.25">
      <c r="B139" s="264"/>
      <c r="N139" s="231"/>
    </row>
    <row r="140" spans="2:14" x14ac:dyDescent="0.25">
      <c r="B140" s="264"/>
    </row>
    <row r="141" spans="2:14" x14ac:dyDescent="0.25">
      <c r="B141" s="264"/>
    </row>
    <row r="142" spans="2:14" x14ac:dyDescent="0.25">
      <c r="B142" s="264"/>
    </row>
    <row r="143" spans="2:14" x14ac:dyDescent="0.25">
      <c r="B143" s="264"/>
      <c r="C143" s="265"/>
    </row>
    <row r="144" spans="2:14" x14ac:dyDescent="0.25">
      <c r="B144" s="264"/>
      <c r="C144" s="265"/>
      <c r="N144" s="231"/>
    </row>
    <row r="145" spans="2:3" x14ac:dyDescent="0.25">
      <c r="B145" s="264"/>
      <c r="C145" s="265"/>
    </row>
    <row r="146" spans="2:3" x14ac:dyDescent="0.25">
      <c r="B146" s="264"/>
    </row>
    <row r="147" spans="2:3" x14ac:dyDescent="0.25">
      <c r="B147" s="264"/>
    </row>
    <row r="148" spans="2:3" x14ac:dyDescent="0.25">
      <c r="B148" s="264"/>
    </row>
    <row r="149" spans="2:3" x14ac:dyDescent="0.25">
      <c r="B149" s="264"/>
    </row>
    <row r="150" spans="2:3" x14ac:dyDescent="0.25">
      <c r="B150" s="264"/>
    </row>
  </sheetData>
  <mergeCells count="38">
    <mergeCell ref="F41:P41"/>
    <mergeCell ref="F42:K42"/>
    <mergeCell ref="M42:P42"/>
    <mergeCell ref="A2:C2"/>
    <mergeCell ref="A3:B3"/>
    <mergeCell ref="A4:B4"/>
    <mergeCell ref="A9:C9"/>
    <mergeCell ref="A10:B10"/>
    <mergeCell ref="C45:D45"/>
    <mergeCell ref="C46:D46"/>
    <mergeCell ref="C47:D47"/>
    <mergeCell ref="A11:B11"/>
    <mergeCell ref="B39:E39"/>
    <mergeCell ref="B40:E40"/>
    <mergeCell ref="A106:A107"/>
    <mergeCell ref="B106:B107"/>
    <mergeCell ref="E106:E107"/>
    <mergeCell ref="B70:E70"/>
    <mergeCell ref="B88:E88"/>
    <mergeCell ref="B89:E89"/>
    <mergeCell ref="B90:E90"/>
    <mergeCell ref="B91:E91"/>
    <mergeCell ref="F108:H108"/>
    <mergeCell ref="B115:E115"/>
    <mergeCell ref="B118:E118"/>
    <mergeCell ref="B119:E119"/>
    <mergeCell ref="E10:E11"/>
    <mergeCell ref="F9:F15"/>
    <mergeCell ref="B92:E92"/>
    <mergeCell ref="B93:E93"/>
    <mergeCell ref="C105:D105"/>
    <mergeCell ref="C48:D48"/>
    <mergeCell ref="C49:D49"/>
    <mergeCell ref="B59:E59"/>
    <mergeCell ref="B60:E60"/>
    <mergeCell ref="B69:E69"/>
    <mergeCell ref="C43:D43"/>
    <mergeCell ref="C44:D44"/>
  </mergeCells>
  <hyperlinks>
    <hyperlink ref="E66" r:id="rId1" xr:uid="{00000000-0004-0000-0200-000000000000}"/>
  </hyperlink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VIGILÃNCIA ARMADA DIURNA </vt:lpstr>
      <vt:lpstr>VIGILÃNCIA ARMADA NOTURNA</vt:lpstr>
      <vt:lpstr>Memoria de Cálculo</vt:lpstr>
      <vt:lpstr>'VIGILÃNCIA ARMADA NOTURNA'!Area_de_impressao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dc:description/>
  <cp:lastModifiedBy>TJPI</cp:lastModifiedBy>
  <cp:revision>3</cp:revision>
  <cp:lastPrinted>2019-04-09T17:50:15Z</cp:lastPrinted>
  <dcterms:created xsi:type="dcterms:W3CDTF">2010-12-08T17:56:29Z</dcterms:created>
  <dcterms:modified xsi:type="dcterms:W3CDTF">2022-07-22T12:20:17Z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