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908"/>
  </bookViews>
  <sheets>
    <sheet name="LICITAÇÃO" sheetId="18" r:id="rId1"/>
    <sheet name="Anexo 02_1" sheetId="1" r:id="rId2"/>
    <sheet name="Anexo 02_2" sheetId="24" r:id="rId3"/>
    <sheet name="Anexo 02_3" sheetId="15" r:id="rId4"/>
    <sheet name="Anexo 02_4" sheetId="16" r:id="rId5"/>
    <sheet name="Anexo 02_5" sheetId="17" r:id="rId6"/>
    <sheet name="Anexo 02_6" sheetId="19" r:id="rId7"/>
    <sheet name="Anexo 02_7" sheetId="20" r:id="rId8"/>
    <sheet name="Anexo 02_10" sheetId="22" r:id="rId9"/>
    <sheet name="Anexo 02_11" sheetId="25" r:id="rId10"/>
    <sheet name="Anexo 05_1_Emp" sheetId="6" r:id="rId11"/>
    <sheet name="Anexo 05_11_Emp" sheetId="26" r:id="rId12"/>
  </sheets>
  <externalReferences>
    <externalReference r:id="rId13"/>
    <externalReference r:id="rId14"/>
  </externalReferences>
  <definedNames>
    <definedName name="_xlnm.Print_Area" localSheetId="1">'Anexo 02_1'!$A$1:$C$84</definedName>
    <definedName name="_xlnm.Print_Area" localSheetId="8">'Anexo 02_10'!$A$1:$F$18</definedName>
    <definedName name="_xlnm.Print_Area" localSheetId="9">'Anexo 02_11'!$A$1:$F$34</definedName>
    <definedName name="_xlnm.Print_Area" localSheetId="2">'Anexo 02_2'!$A$1:$C$84</definedName>
    <definedName name="_xlnm.Print_Area" localSheetId="3">'Anexo 02_3'!$A$1:$C$84</definedName>
    <definedName name="_xlnm.Print_Area" localSheetId="4">'Anexo 02_4'!$A$1:$C$84</definedName>
    <definedName name="_xlnm.Print_Area" localSheetId="5">'Anexo 02_5'!$A$1:$C$84</definedName>
    <definedName name="_xlnm.Print_Area" localSheetId="6">'Anexo 02_6'!$A$1:$C$84</definedName>
    <definedName name="_xlnm.Print_Area" localSheetId="7">'Anexo 02_7'!$A$1:$C$84</definedName>
    <definedName name="_xlnm.Print_Area" localSheetId="10">'Anexo 05_1_Emp'!$A$1:$C$88</definedName>
    <definedName name="_xlnm.Print_Area" localSheetId="11">'Anexo 05_11_Emp'!$A$1:$F$31</definedName>
    <definedName name="_xlnm.Print_Area" localSheetId="0">LICITAÇÃO!$A$1:$K$21</definedName>
    <definedName name="BDI">[1]Insumos!$D$5</definedName>
    <definedName name="faad5_">[1]Insumos!$F$201</definedName>
    <definedName name="GCO_Valor_Global">[2]Consolidado_Geral!$G$9</definedName>
  </definedNames>
  <calcPr calcId="125725"/>
</workbook>
</file>

<file path=xl/calcChain.xml><?xml version="1.0" encoding="utf-8"?>
<calcChain xmlns="http://schemas.openxmlformats.org/spreadsheetml/2006/main">
  <c r="C10" i="17"/>
  <c r="D57" i="20"/>
  <c r="B57"/>
  <c r="D57" i="19"/>
  <c r="B57"/>
  <c r="D57" i="17"/>
  <c r="D57" i="16"/>
  <c r="B57"/>
  <c r="D57" i="15"/>
  <c r="B57"/>
  <c r="D57" i="24"/>
  <c r="B57"/>
  <c r="D57" i="1"/>
  <c r="C22" i="26"/>
  <c r="D62" i="1" l="1"/>
  <c r="C62"/>
  <c r="D61"/>
  <c r="C61" s="1"/>
  <c r="D62" i="17"/>
  <c r="C62" s="1"/>
  <c r="D61"/>
  <c r="C61" s="1"/>
  <c r="C13"/>
  <c r="E58" i="20" l="1"/>
  <c r="C58" s="1"/>
  <c r="E58" i="19"/>
  <c r="C58" s="1"/>
  <c r="E58" i="17"/>
  <c r="C58" s="1"/>
  <c r="E58" i="16"/>
  <c r="C58" s="1"/>
  <c r="E58" i="15"/>
  <c r="C58" s="1"/>
  <c r="E58" i="24"/>
  <c r="C58" s="1"/>
  <c r="E58" i="1"/>
  <c r="J17" i="18" l="1"/>
  <c r="D62" i="20" l="1"/>
  <c r="C62" s="1"/>
  <c r="D61"/>
  <c r="C61" s="1"/>
  <c r="D62" i="19"/>
  <c r="C62" s="1"/>
  <c r="D61"/>
  <c r="C61" s="1"/>
  <c r="D62" i="24"/>
  <c r="C62" s="1"/>
  <c r="D61"/>
  <c r="C61"/>
  <c r="B72" i="20"/>
  <c r="B72" i="19"/>
  <c r="B72" i="17"/>
  <c r="B72" i="16"/>
  <c r="B72" i="15"/>
  <c r="B72" i="24"/>
  <c r="B60" i="20"/>
  <c r="E59"/>
  <c r="C59" s="1"/>
  <c r="F57"/>
  <c r="B60" i="19"/>
  <c r="E59"/>
  <c r="C59" s="1"/>
  <c r="F57"/>
  <c r="B60" i="17"/>
  <c r="E59"/>
  <c r="C59" s="1"/>
  <c r="F57"/>
  <c r="B60" i="16"/>
  <c r="E59"/>
  <c r="C59" s="1"/>
  <c r="F57"/>
  <c r="B60" i="15"/>
  <c r="E59"/>
  <c r="C59" s="1"/>
  <c r="F57"/>
  <c r="B60" i="24"/>
  <c r="E59"/>
  <c r="C59" s="1"/>
  <c r="F57"/>
  <c r="B53" i="20"/>
  <c r="B48"/>
  <c r="B40"/>
  <c r="B27"/>
  <c r="B54" s="1"/>
  <c r="B53" i="19"/>
  <c r="B48"/>
  <c r="B40"/>
  <c r="B27"/>
  <c r="B53" i="17"/>
  <c r="B48"/>
  <c r="B40"/>
  <c r="B27"/>
  <c r="B54" s="1"/>
  <c r="B53" i="16"/>
  <c r="B48"/>
  <c r="B40"/>
  <c r="B27"/>
  <c r="B53" i="15"/>
  <c r="B48"/>
  <c r="B40"/>
  <c r="B27"/>
  <c r="B54" s="1"/>
  <c r="B53" i="24"/>
  <c r="B48"/>
  <c r="B40"/>
  <c r="B27"/>
  <c r="C58" i="1"/>
  <c r="B54" i="16" l="1"/>
  <c r="B54" i="19"/>
  <c r="B54" i="24"/>
  <c r="D23" i="25" l="1"/>
  <c r="G16" i="18" s="1"/>
  <c r="H16" s="1"/>
  <c r="E23" i="25"/>
  <c r="C23"/>
  <c r="J16" i="18" l="1"/>
  <c r="G7" l="1"/>
  <c r="B78" i="20"/>
  <c r="B78" i="19"/>
  <c r="B78" i="17"/>
  <c r="B78" i="16"/>
  <c r="B78" i="15"/>
  <c r="C13" i="20"/>
  <c r="C14" s="1"/>
  <c r="B58" s="1"/>
  <c r="C13" i="19"/>
  <c r="C14" s="1"/>
  <c r="B58" s="1"/>
  <c r="C14" i="17"/>
  <c r="B57" s="1"/>
  <c r="C13" i="16"/>
  <c r="C14" s="1"/>
  <c r="B58" s="1"/>
  <c r="C13" i="15"/>
  <c r="C14" s="1"/>
  <c r="B58" s="1"/>
  <c r="B78" i="24"/>
  <c r="C13"/>
  <c r="C14" s="1"/>
  <c r="B58" s="1"/>
  <c r="B61" i="17" l="1"/>
  <c r="B62"/>
  <c r="C18"/>
  <c r="B58"/>
  <c r="C64" i="16"/>
  <c r="B63"/>
  <c r="B59"/>
  <c r="C60"/>
  <c r="C64" i="20"/>
  <c r="B63"/>
  <c r="B62"/>
  <c r="C60"/>
  <c r="C65" s="1"/>
  <c r="C71" s="1"/>
  <c r="B59"/>
  <c r="B61"/>
  <c r="C64" i="24"/>
  <c r="B63"/>
  <c r="C60"/>
  <c r="C65" s="1"/>
  <c r="C70" s="1"/>
  <c r="B61"/>
  <c r="B59"/>
  <c r="B62"/>
  <c r="C64" i="15"/>
  <c r="B63"/>
  <c r="C60"/>
  <c r="B59"/>
  <c r="B63" i="17"/>
  <c r="C64"/>
  <c r="C60"/>
  <c r="B59"/>
  <c r="C64" i="19"/>
  <c r="B63"/>
  <c r="B61"/>
  <c r="B59"/>
  <c r="B62"/>
  <c r="C60"/>
  <c r="C30"/>
  <c r="C47"/>
  <c r="C23"/>
  <c r="C32"/>
  <c r="C22"/>
  <c r="C31"/>
  <c r="C39"/>
  <c r="C21"/>
  <c r="C38"/>
  <c r="C45" i="16"/>
  <c r="C23"/>
  <c r="C21"/>
  <c r="C37"/>
  <c r="C20"/>
  <c r="C47"/>
  <c r="C30"/>
  <c r="C39"/>
  <c r="C22"/>
  <c r="C38"/>
  <c r="C46"/>
  <c r="C32"/>
  <c r="C31"/>
  <c r="C51" i="15"/>
  <c r="C46" i="20"/>
  <c r="C37"/>
  <c r="C20"/>
  <c r="C23"/>
  <c r="C30"/>
  <c r="C45"/>
  <c r="C36"/>
  <c r="C19"/>
  <c r="C33"/>
  <c r="C39"/>
  <c r="C44"/>
  <c r="C35"/>
  <c r="C26"/>
  <c r="C18"/>
  <c r="C51"/>
  <c r="C24"/>
  <c r="C21"/>
  <c r="C52"/>
  <c r="C43"/>
  <c r="C34"/>
  <c r="C25"/>
  <c r="C32"/>
  <c r="C31"/>
  <c r="C47"/>
  <c r="C22"/>
  <c r="C38"/>
  <c r="C24" i="19"/>
  <c r="C33"/>
  <c r="C51"/>
  <c r="C18"/>
  <c r="C26"/>
  <c r="C35"/>
  <c r="C44"/>
  <c r="C25"/>
  <c r="C43"/>
  <c r="C19"/>
  <c r="C36"/>
  <c r="C45"/>
  <c r="C34"/>
  <c r="C52"/>
  <c r="C20"/>
  <c r="C37"/>
  <c r="C46"/>
  <c r="C46" i="17"/>
  <c r="C37"/>
  <c r="C20"/>
  <c r="C45"/>
  <c r="C36"/>
  <c r="C19"/>
  <c r="C34"/>
  <c r="C51"/>
  <c r="C33"/>
  <c r="C24"/>
  <c r="C31"/>
  <c r="C44"/>
  <c r="C35"/>
  <c r="C26"/>
  <c r="C52"/>
  <c r="C25"/>
  <c r="C47"/>
  <c r="C21"/>
  <c r="C43"/>
  <c r="C30"/>
  <c r="C32"/>
  <c r="C23"/>
  <c r="C39"/>
  <c r="C22"/>
  <c r="C38"/>
  <c r="C24" i="16"/>
  <c r="C33"/>
  <c r="C51"/>
  <c r="C18"/>
  <c r="C26"/>
  <c r="C35"/>
  <c r="C44"/>
  <c r="C25"/>
  <c r="C34"/>
  <c r="C43"/>
  <c r="C52"/>
  <c r="C19"/>
  <c r="C36"/>
  <c r="C34" i="15"/>
  <c r="C43"/>
  <c r="C35"/>
  <c r="C44"/>
  <c r="C19"/>
  <c r="C36"/>
  <c r="C45"/>
  <c r="C20"/>
  <c r="C37"/>
  <c r="C46"/>
  <c r="C21"/>
  <c r="C30"/>
  <c r="C38"/>
  <c r="C47"/>
  <c r="C32"/>
  <c r="C25"/>
  <c r="C52"/>
  <c r="C18"/>
  <c r="C26"/>
  <c r="C22"/>
  <c r="C31"/>
  <c r="C39"/>
  <c r="C23"/>
  <c r="C24"/>
  <c r="C33"/>
  <c r="C44" i="24"/>
  <c r="C35"/>
  <c r="C26"/>
  <c r="C18"/>
  <c r="C46"/>
  <c r="C45"/>
  <c r="C52"/>
  <c r="C43"/>
  <c r="C34"/>
  <c r="C25"/>
  <c r="C32"/>
  <c r="C23"/>
  <c r="C31"/>
  <c r="C47"/>
  <c r="C30"/>
  <c r="C20"/>
  <c r="C51"/>
  <c r="C33"/>
  <c r="C24"/>
  <c r="C22"/>
  <c r="C21"/>
  <c r="C37"/>
  <c r="C39"/>
  <c r="C38"/>
  <c r="C36"/>
  <c r="C19"/>
  <c r="G10" i="18"/>
  <c r="D24"/>
  <c r="G12"/>
  <c r="G11"/>
  <c r="G9"/>
  <c r="D62" i="16"/>
  <c r="C62" s="1"/>
  <c r="D61"/>
  <c r="C61" s="1"/>
  <c r="G8" i="18"/>
  <c r="D62" i="15"/>
  <c r="C62" s="1"/>
  <c r="D61"/>
  <c r="C61" s="1"/>
  <c r="I7" i="18"/>
  <c r="G6"/>
  <c r="C13" i="1"/>
  <c r="C14" s="1"/>
  <c r="B53"/>
  <c r="B27"/>
  <c r="B40"/>
  <c r="B48"/>
  <c r="E59"/>
  <c r="C59" s="1"/>
  <c r="B60"/>
  <c r="B72"/>
  <c r="B78"/>
  <c r="C53" i="20" l="1"/>
  <c r="B58" i="1"/>
  <c r="B61"/>
  <c r="B62"/>
  <c r="C71" i="24"/>
  <c r="C72" s="1"/>
  <c r="B65"/>
  <c r="B65" i="20"/>
  <c r="C65" i="19"/>
  <c r="C70" i="20"/>
  <c r="C72" s="1"/>
  <c r="B65" i="19"/>
  <c r="I8" i="18"/>
  <c r="K8" s="1"/>
  <c r="I12"/>
  <c r="K12" s="1"/>
  <c r="I9"/>
  <c r="K9" s="1"/>
  <c r="I11"/>
  <c r="K11" s="1"/>
  <c r="I6"/>
  <c r="K6" s="1"/>
  <c r="I10"/>
  <c r="K10" s="1"/>
  <c r="C65" i="17"/>
  <c r="C71" s="1"/>
  <c r="C65" i="16"/>
  <c r="C71" s="1"/>
  <c r="C65" i="15"/>
  <c r="C70" s="1"/>
  <c r="C48" i="17"/>
  <c r="C53" i="24"/>
  <c r="C27" i="20"/>
  <c r="C40" i="19"/>
  <c r="C40" i="16"/>
  <c r="C27"/>
  <c r="C53" i="15"/>
  <c r="C48"/>
  <c r="C40" i="20"/>
  <c r="C48"/>
  <c r="C27" i="19"/>
  <c r="C53"/>
  <c r="C48"/>
  <c r="C27" i="17"/>
  <c r="C40"/>
  <c r="C53"/>
  <c r="C53" i="16"/>
  <c r="C48"/>
  <c r="C40" i="15"/>
  <c r="C27"/>
  <c r="B62"/>
  <c r="B61"/>
  <c r="C27" i="24"/>
  <c r="C40"/>
  <c r="C48"/>
  <c r="B54" i="1"/>
  <c r="B59"/>
  <c r="B62" i="16"/>
  <c r="B57" i="1"/>
  <c r="B63"/>
  <c r="C31"/>
  <c r="C39"/>
  <c r="C22"/>
  <c r="C43"/>
  <c r="C60"/>
  <c r="C35"/>
  <c r="C30"/>
  <c r="C44"/>
  <c r="C38"/>
  <c r="C47"/>
  <c r="C26"/>
  <c r="C51"/>
  <c r="C33"/>
  <c r="C32"/>
  <c r="C46"/>
  <c r="C23"/>
  <c r="C24"/>
  <c r="C37"/>
  <c r="C52"/>
  <c r="C19"/>
  <c r="C45"/>
  <c r="C18"/>
  <c r="C64"/>
  <c r="C20"/>
  <c r="C36"/>
  <c r="C34"/>
  <c r="C21"/>
  <c r="C25"/>
  <c r="B61" i="16"/>
  <c r="K7" i="18"/>
  <c r="C70" i="17" l="1"/>
  <c r="C72" s="1"/>
  <c r="C54" i="15"/>
  <c r="C67" s="1"/>
  <c r="C71" i="19"/>
  <c r="C70"/>
  <c r="C54"/>
  <c r="C67" s="1"/>
  <c r="K13" i="18"/>
  <c r="I13"/>
  <c r="B65" i="17"/>
  <c r="B65" i="16"/>
  <c r="C70"/>
  <c r="C72" s="1"/>
  <c r="B65" i="15"/>
  <c r="C71"/>
  <c r="C72" s="1"/>
  <c r="C54" i="20"/>
  <c r="C54" i="16"/>
  <c r="C67" s="1"/>
  <c r="C54" i="17"/>
  <c r="C67" s="1"/>
  <c r="C54" i="24"/>
  <c r="C67" s="1"/>
  <c r="C75" s="1"/>
  <c r="C53" i="1"/>
  <c r="C48"/>
  <c r="C27"/>
  <c r="C40"/>
  <c r="C75" i="17" l="1"/>
  <c r="C72" i="19"/>
  <c r="C75" s="1"/>
  <c r="C67" i="20"/>
  <c r="C75" s="1"/>
  <c r="C75" i="16"/>
  <c r="C76" i="15"/>
  <c r="C76" i="17"/>
  <c r="C77" i="15"/>
  <c r="C75"/>
  <c r="C77" i="17"/>
  <c r="C77" i="16"/>
  <c r="C76"/>
  <c r="C77" i="24"/>
  <c r="C76"/>
  <c r="B65" i="1"/>
  <c r="C54"/>
  <c r="C78" i="15" l="1"/>
  <c r="C77" i="20"/>
  <c r="C76" i="19"/>
  <c r="C77"/>
  <c r="C76" i="20"/>
  <c r="C78" i="17"/>
  <c r="C78" i="16"/>
  <c r="C78" i="24"/>
  <c r="C80" s="1"/>
  <c r="F7" i="18" s="1"/>
  <c r="C65" i="1"/>
  <c r="C70" s="1"/>
  <c r="C78" i="19" l="1"/>
  <c r="C78" i="20"/>
  <c r="C67" i="1"/>
  <c r="C71"/>
  <c r="C72" s="1"/>
  <c r="C76" l="1"/>
  <c r="C77"/>
  <c r="C75"/>
  <c r="C80" i="20"/>
  <c r="C80" i="17" l="1"/>
  <c r="C80" i="15"/>
  <c r="C80" i="16"/>
  <c r="F9" i="18" s="1"/>
  <c r="C78" i="1"/>
  <c r="C80" s="1"/>
  <c r="F12" i="18"/>
  <c r="C80" i="19"/>
  <c r="H12" i="18" l="1"/>
  <c r="J12" s="1"/>
  <c r="H9"/>
  <c r="J9" s="1"/>
  <c r="F10"/>
  <c r="H7"/>
  <c r="J7" s="1"/>
  <c r="F8"/>
  <c r="F6"/>
  <c r="F11"/>
  <c r="H11" l="1"/>
  <c r="J11" s="1"/>
  <c r="H8"/>
  <c r="J8" s="1"/>
  <c r="H6"/>
  <c r="H10"/>
  <c r="J10" s="1"/>
  <c r="H13" l="1"/>
  <c r="H14"/>
  <c r="H18" s="1"/>
  <c r="J6"/>
  <c r="J14" s="1"/>
  <c r="J19" s="1"/>
  <c r="J13" l="1"/>
</calcChain>
</file>

<file path=xl/sharedStrings.xml><?xml version="1.0" encoding="utf-8"?>
<sst xmlns="http://schemas.openxmlformats.org/spreadsheetml/2006/main" count="638" uniqueCount="177">
  <si>
    <t>01 – CATEGORIA TÉCNICO EM ELETRÔNICA</t>
  </si>
  <si>
    <t>TRIBUNAL DE JUSTIÇA DO ESTADO DO PIAUÍ – DEPARTAMENTO DE ENGENHARIA</t>
  </si>
  <si>
    <t>I - SALÁRIO NORMATIVO DA CATEGORIA</t>
  </si>
  <si>
    <t>II - MÃO-DE-OBRA</t>
  </si>
  <si>
    <t>REMUNERAÇÃO</t>
  </si>
  <si>
    <t>Valor do Salário</t>
  </si>
  <si>
    <t>TOTAL DA REMUNERAÇÃO</t>
  </si>
  <si>
    <t>III - ENCARGOS SOCIAIS INCIDENTES SOBRE REMUNERAÇÃO</t>
  </si>
  <si>
    <t>GRUPO A - ENCARGOS SOCIAIS BÁSICOS</t>
  </si>
  <si>
    <t>A. 02 - FGTS - Art. 15 Lei 8.030/90 art. 7º inciso III CF</t>
  </si>
  <si>
    <t>A. 08 - Salário Educação - Art. 8º inciso I Decreto 87.043/82</t>
  </si>
  <si>
    <t>A. 09 - Seguro contra os acidentes de Trabalho/SAT/INSS - Art. 22 inciso II Lei 8.212/91, anexo ativ. 74.70-5</t>
  </si>
  <si>
    <t>SUBTOTAL DO GRUPO A</t>
  </si>
  <si>
    <t>GRUPO B - ENCARGOS QUE RECEBEM A INCIDÊNCIA DO GRUPO A</t>
  </si>
  <si>
    <t>SUBTOTAL DO GRUPO B</t>
  </si>
  <si>
    <t>GRUPO C - ENCARGOS QUE NÃO RECEBEM A INCIDÊNCIA DO GRUPO A</t>
  </si>
  <si>
    <t>TAXA TOTAL DE ENCARGOS SOCIAIS</t>
  </si>
  <si>
    <t>IV - INSUMOS</t>
  </si>
  <si>
    <t>TOTAL INSUMOS</t>
  </si>
  <si>
    <t>VALOR TOTAL REMUNERAÇÃO + ENCARGOS SOCIAIS + INSUMOS</t>
  </si>
  <si>
    <t>V - BONIFICAÇÕES E OUTRAS DESPESAS SOBRE RE MUNERAÇÃO + INSUMOS</t>
  </si>
  <si>
    <t>TOTAL BONIFICAÇÕES E OUTRAS DESPESAS</t>
  </si>
  <si>
    <t>VI - TRIBUTAÇÃO SOBRE O FATURAMENTO</t>
  </si>
  <si>
    <t>01 - ISSQN OU ISS</t>
  </si>
  <si>
    <t>02 - COFINS</t>
  </si>
  <si>
    <t>03 - PIS</t>
  </si>
  <si>
    <t>TOTAL TRIBUTAÇÃO SOBRE O FATURAMENTO</t>
  </si>
  <si>
    <t>PREÇO TOTAL HOMEM / MÊS CATEGORIA TÉCNICO EM ELETRÔNICA</t>
  </si>
  <si>
    <t>(em papel personalizado da empresa que identifique o licitante)</t>
  </si>
  <si>
    <t>________________________________________________</t>
  </si>
  <si>
    <t>Local e Data</t>
  </si>
  <si>
    <t>Carimbo e assinatura do responsável legal</t>
  </si>
  <si>
    <t>B. 01 - Repouso Semanal Remunerado</t>
  </si>
  <si>
    <t>B. 02 - Feriados</t>
  </si>
  <si>
    <t>A. 03 - SESC/SESI - Art. 3º Lei 8036/90</t>
  </si>
  <si>
    <t>A. 04 - SENAC/SENAI - Decreto 2.318/86</t>
  </si>
  <si>
    <t>A. 05 - INCRA Lei 7.787 de 30/06/89 e DL 1.146/70</t>
  </si>
  <si>
    <t>A. 06 - SEBRAE - Art. 8º Lei 8029/90 e 8154 de 28/12/90</t>
  </si>
  <si>
    <t>B. 10 - Dias de Chuva</t>
  </si>
  <si>
    <t>A. 07 - SECONCI - Art. 8º, IV da Constituição e Art. 513, da CLT, Alínea "e"</t>
  </si>
  <si>
    <t>GRUPO D - INCIDÊNCIA DE UM GRUPO SOBRE OUTRO</t>
  </si>
  <si>
    <t>D. 01 - Reincidência de Grupo A sobre Grupo B</t>
  </si>
  <si>
    <t>D. 02- Reincidência de Grupo A sobre Aviso Prévio Trabalhado e
Reincidência do FGTS sobre Aviso Prévio Indenizado</t>
  </si>
  <si>
    <t>SUBTOTAL DO GRUPO D</t>
  </si>
  <si>
    <t>SUBTOTAL DO GRUPO C</t>
  </si>
  <si>
    <t>A. 01 - CPRB - Lei 12.844/13 e Acórdão 2293-TCU-Plenário</t>
  </si>
  <si>
    <t>ANEXO 02</t>
  </si>
  <si>
    <t>D. 02 - Reincidência de Grupo A sobre Aviso Prévio Trabalhado e
Reincidência do FGTS sobre Aviso Prévio Indenizado</t>
  </si>
  <si>
    <t>01 - Lucros e Despesas Indiretas</t>
  </si>
  <si>
    <t>02 - Custos Administrativos Operacionais</t>
  </si>
  <si>
    <t>ANEXO 05-01</t>
  </si>
  <si>
    <t>OBSERVAÇÕES:</t>
  </si>
  <si>
    <t>TRIBUNAL DE JUSTIÇA DO ESTADO DO PIAUÍ – SUPERINTENDÊNCIA DE ENGENHARIA E ARQUITETURA</t>
  </si>
  <si>
    <t>04 - CPRB</t>
  </si>
  <si>
    <t xml:space="preserve">B. 03 - 13º Salário </t>
  </si>
  <si>
    <t xml:space="preserve">B. 04 - Férias Gozadas </t>
  </si>
  <si>
    <t>B. 05 - Salário Maternidade</t>
  </si>
  <si>
    <t xml:space="preserve">B. 06 - Auxílio Enfermidade </t>
  </si>
  <si>
    <t xml:space="preserve">B. 07 - Licença Paternidade </t>
  </si>
  <si>
    <t>B. 08 - Auxílio Acidente de Trabalho</t>
  </si>
  <si>
    <t xml:space="preserve">B. 09 - Faltas Justificadas </t>
  </si>
  <si>
    <t xml:space="preserve">C. 01 - Aviso Prévio Indenizado </t>
  </si>
  <si>
    <t>C. 02 - Aviso Prévio Trabalhado</t>
  </si>
  <si>
    <t xml:space="preserve">C. 03 - Férias Idenizadas </t>
  </si>
  <si>
    <t xml:space="preserve">C. 04 - Depósito Rescisão Sem Justa Causa </t>
  </si>
  <si>
    <t>C. 05 - Indenização Adicional</t>
  </si>
  <si>
    <t>01 – CATEGORIA PROFISSIONAL DE SERVIÇOS GERAIS</t>
  </si>
  <si>
    <t>01 – CATEGORIA AUXILIAR DE SERVIÇOS GERAIS</t>
  </si>
  <si>
    <t>01 – CATEGORIA SUPERVISOR</t>
  </si>
  <si>
    <t>Polo</t>
  </si>
  <si>
    <t>Postos de serviços</t>
  </si>
  <si>
    <t>Quant. estimada contratada</t>
  </si>
  <si>
    <t>Valor Unitário estimado mensal (R$)</t>
  </si>
  <si>
    <t>Valor Total estimado mensal (R$)</t>
  </si>
  <si>
    <t>Valor Total estimado anual (R$)</t>
  </si>
  <si>
    <t>Fixo</t>
  </si>
  <si>
    <t>Volante</t>
  </si>
  <si>
    <t>Volante (h)</t>
  </si>
  <si>
    <t>Volante (h/mês)</t>
  </si>
  <si>
    <t>Volante (h/ano)</t>
  </si>
  <si>
    <t>Tec. Eletrônica</t>
  </si>
  <si>
    <t>Tec. Eletrotécnica</t>
  </si>
  <si>
    <t>Serv. Gerais</t>
  </si>
  <si>
    <t>Aux. Serv. Gerais</t>
  </si>
  <si>
    <t>Total Mão-de-Obra</t>
  </si>
  <si>
    <t>01 – CATEGORIA TÉCNICO DE REFRIGERAÇÃO</t>
  </si>
  <si>
    <t>01 – CATEGORIA TÉCNICO EM ELETROMECÂNICA</t>
  </si>
  <si>
    <t>PREÇO TOTAL HOMEM / MÊS CATEGORIA TÉCNICO DE REFRIGERAÇÃO</t>
  </si>
  <si>
    <t>PREÇO TOTAL HOMEM / MÊS CATEGORIA TÉCNICO EM ELETROTÉCNICA</t>
  </si>
  <si>
    <t>PREÇO TOTAL HOMEM / MÊS CATEGORIA PROFISSIONAL DE SERVIÇOS GERAIS</t>
  </si>
  <si>
    <t>PREÇO TOTAL HOMEM / MÊS CATEGORIA AUXILIAR DE SERVIÇOS GERAIS</t>
  </si>
  <si>
    <t>PREÇO TOTAL HOMEM / MÊS CATEGORIA SUPERVISOR</t>
  </si>
  <si>
    <t>Tec. Refrigeração</t>
  </si>
  <si>
    <t>Tec. Eletromecânica</t>
  </si>
  <si>
    <t>PREÇO TOTAL HOMEM / MÊS CATEGORIA TÉCNICO EM ELETROMECÂNICA</t>
  </si>
  <si>
    <t>B. 04 - Férias Gozadas</t>
  </si>
  <si>
    <t xml:space="preserve">B. 05 - Salário Maternidade </t>
  </si>
  <si>
    <t xml:space="preserve">B. 08 - Auxílio Acidente de Trabalho </t>
  </si>
  <si>
    <t xml:space="preserve">C. 05 - Indenização Adicional </t>
  </si>
  <si>
    <t>Supervisor</t>
  </si>
  <si>
    <t>Subtotal Mão-de-Obra</t>
  </si>
  <si>
    <t>TERESINA</t>
  </si>
  <si>
    <t>Valor mensal estimado ........................................................................</t>
  </si>
  <si>
    <t>Total Anual estimado ...........................................................................</t>
  </si>
  <si>
    <r>
      <t>PREÇO TOTAL HOMEM / MÊS CATEGORIA</t>
    </r>
    <r>
      <rPr>
        <b/>
        <sz val="10"/>
        <color indexed="10"/>
        <rFont val="Arial"/>
        <family val="2"/>
      </rPr>
      <t xml:space="preserve"> ______________________________________</t>
    </r>
  </si>
  <si>
    <r>
      <t>PREÇO TOTAL HOMEM / HORA CATEGORIA</t>
    </r>
    <r>
      <rPr>
        <b/>
        <sz val="10"/>
        <color indexed="10"/>
        <rFont val="Arial"/>
        <family val="2"/>
      </rPr>
      <t xml:space="preserve"> _______________________________________</t>
    </r>
  </si>
  <si>
    <r>
      <t>PLANILHA DE CUSTOS MENSAIS – CATEGORIA</t>
    </r>
    <r>
      <rPr>
        <b/>
        <sz val="10"/>
        <color indexed="10"/>
        <rFont val="Arial"/>
        <family val="2"/>
      </rPr>
      <t xml:space="preserve"> ______________________________</t>
    </r>
  </si>
  <si>
    <t>__________________________________________</t>
  </si>
  <si>
    <t>PLANILHA POLO - SEM DESONERAÇÃO</t>
  </si>
  <si>
    <t>04 - Dedução legal vale transporte ( 6% )</t>
  </si>
  <si>
    <t>07 - Seguro de Vida em Grupo</t>
  </si>
  <si>
    <t>08 - Outros</t>
  </si>
  <si>
    <t xml:space="preserve">COMPOSIÇÃO     </t>
  </si>
  <si>
    <t>C-01</t>
  </si>
  <si>
    <t>C-02</t>
  </si>
  <si>
    <t>Aviso Prévio Trabalhado</t>
  </si>
  <si>
    <t>3) ADOTOU-SE PARA O CÁLCULO DA INCIDÊNCIA DESTE ENCARGO O PERCENTUAL DE 10% PARA AVISO PRÉVIO IDENIZADO E 90% PARA AVISO PRÉVIO TRABALHADO.</t>
  </si>
  <si>
    <t xml:space="preserve">1) PARA O CÁLCULO DO COEFICIENTE DA COMPOSIÇÃO C-01 - AVISO PRÉVIO IDENIZADO, ADOTOU-SE O PRODUTO DE (33 DIAS TRABALHADOS) x (TAXA DE ROTATIVIDADE ANUAL DESCONTADA) X (PROPORÇÃO DE DISPENSADOS POR JUSTA CAUSA), COM A UTILIZAÇÃO DOS DADOS DISPONIBILIZADOS PELO MINISTÉRIO DO TRABALHO E EMPREGO, POR MEIO DO CAGED (LEI Nº 4923/65) E METODOLOGIA DO MEMORIAL DE CÁLCULO DE ENCARGOS SOCIAIS DO SINAPI. </t>
  </si>
  <si>
    <t xml:space="preserve">2) PARA O CÁLCULO DO COEFICIENTE DA COMPOSIÇÃO C-02 - AVISO PRÉVIO TRABALHADO, ADOTOU-SE O PRODUTO DE (7 DIAS TRABALHADOS) x (TAXA DE ROTATIVIDADE ANUAL DESCONTADA) X (PROPORÇÃO DE DISPENSADOS POR JUSTA CAUSA), COM A UTILIZAÇÃO DOS DADOS DISPONIBILIZADOS PELO MINISTÉRIO DO TRABALHO E EMPREGO, POR MEIO DO CAGED (LEI Nº 4923/65) E METODOLOGIA DO MEMORIAL DE CÁLCULO DE ENCARGOS SOCIAIS DO SINAPI. </t>
  </si>
  <si>
    <t>INCIDÊNCIA</t>
  </si>
  <si>
    <t>PERCENTUAL ADOTADO</t>
  </si>
  <si>
    <t xml:space="preserve">Aviso Prévio Indenizado </t>
  </si>
  <si>
    <t>05 - Ferramentas (18,33 Horas do mês x valor Hora INSUMO SINAPI-PI 43460)</t>
  </si>
  <si>
    <t>06 - Equipamentos individuais (18,33 Horas do mês x valor Hora INSUMO SINAPI-PI 43484)</t>
  </si>
  <si>
    <t>05 - Ferramentas (18,33 Horas do mês x valor Hora INSUMO SINAPI-PI 43465)</t>
  </si>
  <si>
    <t>06 - Equipamentos individuais (18,33 Horas do mês x valor Hora INSUMO SINAPI-PI 43489)</t>
  </si>
  <si>
    <t>05 - Ferramentas (18,33 Horas do mês x valor Hora INSUMO SINAPI-PI 43467)</t>
  </si>
  <si>
    <t>06 - Equipamentos individuais (18,33 Horas do mês x valor Hora INSUMO SINAPI-PI 43491)</t>
  </si>
  <si>
    <t>01 - Vale Alimentação ( R$ _____*22 )</t>
  </si>
  <si>
    <t>03 - Vale Transporte ( 2x R$ _____ * 22 dias )</t>
  </si>
  <si>
    <t>05 - Ferramentas (18,33 Horas do mês x _________)</t>
  </si>
  <si>
    <t>06 - Equipamentos individuais (18,33 Horas do mês x ________)</t>
  </si>
  <si>
    <t>03 - Vale Transporte ( 2x R$ 4,00 * 22 dias ) - DECRETO Nº 19.414, DE 31 DE JANEIRO DE 2020.</t>
  </si>
  <si>
    <t xml:space="preserve">BDI ESTABELECIDO EM CONFORMIDADE COM ACÓRDÃO Nº 2622/2013 – TCU – Plenário, observando o itens abaixo especificados:
</t>
  </si>
  <si>
    <t>Parâmetros para taxas de BDI a seguir especificados, em conformidade com o item 9.2.1. do Acórdão Nº 2622/2013 - TCU - Plenário:</t>
  </si>
  <si>
    <t>BDI PARA ITENS DE MERO FORNECIMENTO DE MATERIAIS E EQUIPAMENTOS</t>
  </si>
  <si>
    <t>1º QUARTIL</t>
  </si>
  <si>
    <t>MÉDIO</t>
  </si>
  <si>
    <t>Materiais e Equipamentos</t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</si>
  <si>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ADMINISTRAÇÃO CENTRAL (AC)</t>
    </r>
  </si>
  <si>
    <r>
      <rPr>
        <b/>
        <sz val="9"/>
        <rFont val="Arial"/>
        <family val="2"/>
      </rPr>
      <t>2.</t>
    </r>
    <r>
      <rPr>
        <sz val="9"/>
        <rFont val="Arial"/>
        <family val="2"/>
      </rPr>
      <t xml:space="preserve"> SEGURO + GARANTIA (S,G)</t>
    </r>
  </si>
  <si>
    <r>
      <rPr>
        <b/>
        <sz val="9"/>
        <rFont val="Arial"/>
        <family val="2"/>
      </rPr>
      <t>3</t>
    </r>
    <r>
      <rPr>
        <sz val="9"/>
        <rFont val="Arial"/>
        <family val="2"/>
      </rPr>
      <t>. RISCOS (R)</t>
    </r>
  </si>
  <si>
    <r>
      <rPr>
        <b/>
        <sz val="9"/>
        <rFont val="Arial"/>
        <family val="2"/>
      </rPr>
      <t>4.</t>
    </r>
    <r>
      <rPr>
        <sz val="9"/>
        <rFont val="Arial"/>
        <family val="2"/>
      </rPr>
      <t xml:space="preserve"> DESPESAS FINANCEIRAS (DF)</t>
    </r>
  </si>
  <si>
    <r>
      <rPr>
        <b/>
        <sz val="9"/>
        <rFont val="Arial"/>
        <family val="2"/>
      </rPr>
      <t>5.</t>
    </r>
    <r>
      <rPr>
        <sz val="9"/>
        <rFont val="Arial"/>
        <family val="2"/>
      </rPr>
      <t xml:space="preserve"> LUCRO (L)</t>
    </r>
  </si>
  <si>
    <r>
      <rPr>
        <b/>
        <sz val="9"/>
        <rFont val="Arial"/>
        <family val="2"/>
      </rPr>
      <t>6.</t>
    </r>
    <r>
      <rPr>
        <sz val="9"/>
        <rFont val="Arial"/>
        <family val="2"/>
      </rPr>
      <t xml:space="preserve"> IMPOSTOS (I)</t>
    </r>
  </si>
  <si>
    <r>
      <rPr>
        <b/>
        <sz val="9"/>
        <rFont val="Arial"/>
        <family val="2"/>
      </rPr>
      <t xml:space="preserve">6.1. </t>
    </r>
    <r>
      <rPr>
        <sz val="9"/>
        <rFont val="Arial"/>
        <family val="2"/>
      </rPr>
      <t>ISSQN</t>
    </r>
  </si>
  <si>
    <r>
      <rPr>
        <b/>
        <sz val="9"/>
        <rFont val="Arial"/>
        <family val="2"/>
      </rPr>
      <t xml:space="preserve">6.2. </t>
    </r>
    <r>
      <rPr>
        <sz val="9"/>
        <rFont val="Arial"/>
        <family val="2"/>
      </rPr>
      <t>PIS</t>
    </r>
  </si>
  <si>
    <r>
      <rPr>
        <b/>
        <sz val="9"/>
        <rFont val="Arial"/>
        <family val="2"/>
      </rPr>
      <t xml:space="preserve">6.3. </t>
    </r>
    <r>
      <rPr>
        <sz val="9"/>
        <rFont val="Arial"/>
        <family val="2"/>
      </rPr>
      <t>COFINS</t>
    </r>
  </si>
  <si>
    <r>
      <rPr>
        <b/>
        <sz val="9"/>
        <rFont val="Arial"/>
        <family val="2"/>
      </rPr>
      <t xml:space="preserve">6.4. </t>
    </r>
    <r>
      <rPr>
        <sz val="9"/>
        <rFont val="Arial"/>
        <family val="2"/>
      </rPr>
      <t>CPRB</t>
    </r>
  </si>
  <si>
    <t>BDI (%)</t>
  </si>
  <si>
    <t>2) Conforme item 9.3.2.4. do Acórdão Nº 2622/2013 - TCU - Plenário, as empresas sujeitas ao regime de tributação de incidência não cumulativa de PIS e COFINS apresentem demonstrativo de apuração de contribuições sociais comprovando que os percentuais dos referidos tributos adotados na taxa de BDI correspondem à média dos percentuais efetivos recolhidos em virtude do direito de compensação dos créditos previstos no art. 3º das Leis ns. 10.637/2002 e 10.833/2003, de forma a garantir que os preços contratados pela Administração Pública reflitam os benefícios tributários concedidos pela legislação tributária;</t>
  </si>
  <si>
    <t>3º QUARTIL</t>
  </si>
  <si>
    <t xml:space="preserve">1) SERÁ ADOTADO NO PRESENTE TERMO COMO LIMITE MÍNIMO E MÁXIMO DE BDI PARA FORNECIMENTO DE MATERIAIS E EQUIPAMENTOS, 10,89% (1º QUARTIL) e 15,28% (MÉDIO), RESPECTIVAMENTE. </t>
  </si>
  <si>
    <t>BDI (15,28%)</t>
  </si>
  <si>
    <t>07 - Seguro de Vida em Grupo (INSUMO SINAPI-PI 40864)</t>
  </si>
  <si>
    <t>PREÇO UNITÁRIO DA HORA DO VOLANTE (COMPOSIÇÕES SINAPI-PI 88266)</t>
  </si>
  <si>
    <t>PREÇO UNITÁRIO DA HORA DO VOLANTE (COMPOSIÇÃO SINAPI-PI 88309)</t>
  </si>
  <si>
    <t>PREÇO UNITÁRIO DA HORA DO VOLANTE (COMPOSIÇÃO SINAPI-PI 88316)</t>
  </si>
  <si>
    <t>10 – GRUPO C - SUBITEM 01 E 02</t>
  </si>
  <si>
    <t>11 – CÁLCULO DO BDI PARA FORNECIMENTO DE MATERIAIS E EQUIPAMENTOS</t>
  </si>
  <si>
    <t>Manutenção de Elevadores</t>
  </si>
  <si>
    <t>02 - Uniformes (3*(00941-ORSE-INSUMOS)/ 12 meses)</t>
  </si>
  <si>
    <t>02 - Uniformes (3x R$ ______ / 12 meses)</t>
  </si>
  <si>
    <t>GRATIFICAÇÃO DE FUNÇÃO (ADICIONAL DE 20% SOBRE O SALÁRIO NORMATIVO)</t>
  </si>
  <si>
    <t>06 - Equipamentos individuais (18,33 Horas do mês x valor Hora INSUMO SINAPI-PI 00043487)</t>
  </si>
  <si>
    <t>05 - Ferramentas (18,33 Horas do mês x valor Hora INSUMO SINAPI-PI00043463)</t>
  </si>
  <si>
    <t>ANEXO 05</t>
  </si>
  <si>
    <t>PROPOSTA</t>
  </si>
  <si>
    <t>PLANILHA DE CUSTOS MENSAIS ESTIMADOS SEM DESONERAÇÃO – PESQUISA MERCADO LOCAL – DEZEMBRO 2021</t>
  </si>
  <si>
    <t>TÉCNICO EM ELETRÔNICA (CLT 2021/2023 -MTE: PI000005/2022)</t>
  </si>
  <si>
    <t>TÉCNICO EM ELETROTÉCNICA (CLT 2021/2023 -MTE: PI000005/2022)</t>
  </si>
  <si>
    <t>PROFISSIONAL DE SERVIÇOS GERAIS (CLT 2021/2023 -MTE: PI000005/2022)</t>
  </si>
  <si>
    <t>AUXILIAR DE SERVIÇOS GERAIS (CLT 2021/2023 -MTE: PI000005/2022)</t>
  </si>
  <si>
    <t>SUPERVISOR (CLT 2021/2023 -MTE: PI000005/2022)</t>
  </si>
  <si>
    <t>TÉCNICO DE REFRIGERAÇÃO (CLT 2021/2023 -MTE: PI000005/2022)</t>
  </si>
  <si>
    <t>TÉCNICO EM ELETROMECÂNICA (CLT 2021/2023 -MTE: PI000005/2022)</t>
  </si>
  <si>
    <t>01 - Vale Alimentação (INSUMO SINAPI-PI 40862)</t>
  </si>
</sst>
</file>

<file path=xl/styles.xml><?xml version="1.0" encoding="utf-8"?>
<styleSheet xmlns="http://schemas.openxmlformats.org/spreadsheetml/2006/main">
  <numFmts count="13">
    <numFmt numFmtId="43" formatCode="_-* #,##0.00_-;\-* #,##0.00_-;_-* &quot;-&quot;??_-;_-@_-"/>
    <numFmt numFmtId="164" formatCode="&quot;R$ &quot;#,##0.00_);[Red]&quot;(R$ &quot;#,##0.00\)"/>
    <numFmt numFmtId="165" formatCode="[$R$-416]\ #,##0.00;\-[$R$-416]\ #,##0.00"/>
    <numFmt numFmtId="166" formatCode="_-* #,##0.000000_-;\-* #,##0.000000_-;_-* &quot;-&quot;??_-;_-@_-"/>
    <numFmt numFmtId="167" formatCode="0.0"/>
    <numFmt numFmtId="168" formatCode="0.000"/>
    <numFmt numFmtId="169" formatCode="0.0000"/>
    <numFmt numFmtId="170" formatCode="0.00000"/>
    <numFmt numFmtId="171" formatCode="_-* #,##0.00_-;\-* #,##0.00_-;_-* \-??_-;_-@_-"/>
    <numFmt numFmtId="172" formatCode="&quot;R$ &quot;#,##0.00;&quot;-R$ &quot;#,##0.00"/>
    <numFmt numFmtId="173" formatCode="_-&quot;R$ &quot;* #,##0.00_-;&quot;-R$ &quot;* #,##0.00_-;_-&quot;R$ &quot;* \-??_-;_-@_-"/>
    <numFmt numFmtId="174" formatCode="&quot;R$ &quot;#,##0.00"/>
    <numFmt numFmtId="175" formatCode="&quot;R$ &quot;#,##0.00;[Red]&quot;-R$ &quot;#,##0.00"/>
  </numFmts>
  <fonts count="2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Times New Roman"/>
      <family val="1"/>
      <charset val="1"/>
    </font>
    <font>
      <b/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2">
    <xf numFmtId="0" fontId="0" fillId="0" borderId="0"/>
    <xf numFmtId="173" fontId="12" fillId="0" borderId="0" applyFill="0" applyBorder="0" applyAlignment="0" applyProtection="0"/>
    <xf numFmtId="0" fontId="8" fillId="0" borderId="0"/>
    <xf numFmtId="0" fontId="12" fillId="0" borderId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71" fontId="12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0" fontId="1" fillId="0" borderId="0"/>
  </cellStyleXfs>
  <cellXfs count="188">
    <xf numFmtId="0" fontId="0" fillId="0" borderId="0" xfId="0"/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ill="1" applyBorder="1"/>
    <xf numFmtId="166" fontId="1" fillId="0" borderId="0" xfId="5" applyNumberFormat="1" applyFill="1" applyBorder="1"/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0" fillId="0" borderId="1" xfId="0" applyFill="1" applyBorder="1" applyAlignment="1">
      <alignment wrapText="1"/>
    </xf>
    <xf numFmtId="10" fontId="0" fillId="0" borderId="1" xfId="0" applyNumberFormat="1" applyFill="1" applyBorder="1"/>
    <xf numFmtId="10" fontId="2" fillId="0" borderId="1" xfId="0" applyNumberFormat="1" applyFont="1" applyFill="1" applyBorder="1"/>
    <xf numFmtId="168" fontId="0" fillId="0" borderId="0" xfId="0" applyNumberFormat="1" applyFill="1"/>
    <xf numFmtId="169" fontId="0" fillId="0" borderId="0" xfId="0" applyNumberFormat="1" applyFill="1"/>
    <xf numFmtId="170" fontId="0" fillId="0" borderId="0" xfId="0" applyNumberFormat="1" applyFill="1"/>
    <xf numFmtId="164" fontId="0" fillId="0" borderId="0" xfId="0" applyNumberFormat="1" applyFill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164" fontId="5" fillId="0" borderId="1" xfId="0" applyNumberFormat="1" applyFont="1" applyFill="1" applyBorder="1"/>
    <xf numFmtId="0" fontId="5" fillId="0" borderId="0" xfId="0" applyFont="1" applyFill="1"/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9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/>
    <xf numFmtId="49" fontId="10" fillId="0" borderId="1" xfId="2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vertical="center" wrapText="1"/>
    </xf>
    <xf numFmtId="9" fontId="1" fillId="0" borderId="1" xfId="4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0" xfId="0" applyNumberFormat="1" applyFill="1"/>
    <xf numFmtId="0" fontId="0" fillId="0" borderId="8" xfId="0" applyFill="1" applyBorder="1"/>
    <xf numFmtId="10" fontId="1" fillId="0" borderId="0" xfId="4" applyNumberFormat="1" applyFill="1"/>
    <xf numFmtId="4" fontId="0" fillId="0" borderId="0" xfId="0" applyNumberFormat="1" applyFill="1"/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/>
    <xf numFmtId="10" fontId="9" fillId="0" borderId="0" xfId="0" applyNumberFormat="1" applyFont="1" applyBorder="1" applyAlignment="1"/>
    <xf numFmtId="0" fontId="11" fillId="0" borderId="0" xfId="11" applyFont="1"/>
    <xf numFmtId="0" fontId="10" fillId="0" borderId="0" xfId="11" applyFont="1"/>
    <xf numFmtId="0" fontId="9" fillId="0" borderId="0" xfId="0" applyFont="1" applyBorder="1" applyAlignment="1">
      <alignment horizontal="center"/>
    </xf>
    <xf numFmtId="0" fontId="10" fillId="0" borderId="8" xfId="0" applyFont="1" applyBorder="1" applyAlignment="1">
      <alignment vertical="top" wrapText="1"/>
    </xf>
    <xf numFmtId="10" fontId="10" fillId="0" borderId="8" xfId="4" applyNumberFormat="1" applyFont="1" applyBorder="1"/>
    <xf numFmtId="0" fontId="10" fillId="0" borderId="16" xfId="0" applyFont="1" applyBorder="1" applyAlignment="1">
      <alignment vertical="top" wrapText="1"/>
    </xf>
    <xf numFmtId="0" fontId="9" fillId="2" borderId="8" xfId="11" applyFont="1" applyFill="1" applyBorder="1" applyAlignment="1">
      <alignment horizontal="center"/>
    </xf>
    <xf numFmtId="0" fontId="9" fillId="2" borderId="8" xfId="11" applyFont="1" applyFill="1" applyBorder="1"/>
    <xf numFmtId="0" fontId="9" fillId="2" borderId="8" xfId="0" applyFont="1" applyFill="1" applyBorder="1" applyAlignment="1">
      <alignment vertical="top" wrapText="1"/>
    </xf>
    <xf numFmtId="0" fontId="9" fillId="2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48" xfId="0" applyFont="1" applyFill="1" applyBorder="1" applyAlignment="1">
      <alignment wrapText="1"/>
    </xf>
    <xf numFmtId="0" fontId="2" fillId="0" borderId="48" xfId="0" applyFont="1" applyFill="1" applyBorder="1"/>
    <xf numFmtId="0" fontId="3" fillId="0" borderId="8" xfId="0" applyFont="1" applyFill="1" applyBorder="1"/>
    <xf numFmtId="0" fontId="0" fillId="0" borderId="8" xfId="0" applyFill="1" applyBorder="1" applyAlignment="1">
      <alignment wrapText="1"/>
    </xf>
    <xf numFmtId="164" fontId="0" fillId="0" borderId="8" xfId="0" applyNumberFormat="1" applyFill="1" applyBorder="1"/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justify" vertical="top" wrapText="1"/>
    </xf>
    <xf numFmtId="0" fontId="12" fillId="0" borderId="0" xfId="3" applyFill="1"/>
    <xf numFmtId="0" fontId="14" fillId="0" borderId="2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4" xfId="3" applyFont="1" applyFill="1" applyBorder="1" applyAlignment="1">
      <alignment horizontal="center" vertical="center" wrapText="1"/>
    </xf>
    <xf numFmtId="0" fontId="14" fillId="0" borderId="15" xfId="3" applyFont="1" applyFill="1" applyBorder="1" applyAlignment="1">
      <alignment horizontal="center" vertical="center" wrapText="1"/>
    </xf>
    <xf numFmtId="0" fontId="14" fillId="0" borderId="39" xfId="3" applyFont="1" applyFill="1" applyBorder="1" applyAlignment="1">
      <alignment horizontal="center" vertical="center" wrapText="1"/>
    </xf>
    <xf numFmtId="0" fontId="14" fillId="0" borderId="40" xfId="3" applyFont="1" applyFill="1" applyBorder="1" applyAlignment="1">
      <alignment horizontal="center" vertical="center" wrapText="1"/>
    </xf>
    <xf numFmtId="0" fontId="14" fillId="0" borderId="36" xfId="3" applyFont="1" applyFill="1" applyBorder="1" applyAlignment="1">
      <alignment horizontal="center" vertical="center" wrapText="1"/>
    </xf>
    <xf numFmtId="0" fontId="14" fillId="0" borderId="33" xfId="3" applyFont="1" applyFill="1" applyBorder="1" applyAlignment="1">
      <alignment horizontal="center" vertical="center" wrapText="1"/>
    </xf>
    <xf numFmtId="0" fontId="16" fillId="0" borderId="4" xfId="3" applyFont="1" applyFill="1" applyBorder="1" applyAlignment="1">
      <alignment horizontal="center" vertical="top" wrapText="1"/>
    </xf>
    <xf numFmtId="0" fontId="16" fillId="0" borderId="11" xfId="3" applyFont="1" applyFill="1" applyBorder="1" applyAlignment="1">
      <alignment horizontal="center" vertical="top" wrapText="1"/>
    </xf>
    <xf numFmtId="171" fontId="15" fillId="0" borderId="4" xfId="8" applyFont="1" applyFill="1" applyBorder="1" applyAlignment="1" applyProtection="1">
      <alignment horizontal="center" vertical="top" wrapText="1"/>
    </xf>
    <xf numFmtId="171" fontId="15" fillId="0" borderId="2" xfId="8" applyFont="1" applyFill="1" applyBorder="1" applyAlignment="1" applyProtection="1">
      <alignment horizontal="center" vertical="top" wrapText="1"/>
    </xf>
    <xf numFmtId="171" fontId="15" fillId="0" borderId="32" xfId="8" applyFont="1" applyFill="1" applyBorder="1" applyAlignment="1" applyProtection="1">
      <alignment horizontal="center" vertical="top" wrapText="1"/>
    </xf>
    <xf numFmtId="171" fontId="15" fillId="0" borderId="40" xfId="8" applyFont="1" applyFill="1" applyBorder="1" applyAlignment="1" applyProtection="1">
      <alignment horizontal="center" vertical="top" wrapText="1"/>
    </xf>
    <xf numFmtId="171" fontId="15" fillId="0" borderId="33" xfId="8" applyFont="1" applyFill="1" applyBorder="1" applyAlignment="1" applyProtection="1">
      <alignment horizontal="center" vertical="top" wrapText="1"/>
    </xf>
    <xf numFmtId="0" fontId="16" fillId="0" borderId="12" xfId="3" applyFont="1" applyFill="1" applyBorder="1" applyAlignment="1">
      <alignment horizontal="center" vertical="top" wrapText="1"/>
    </xf>
    <xf numFmtId="171" fontId="15" fillId="0" borderId="34" xfId="8" applyFont="1" applyFill="1" applyBorder="1" applyAlignment="1" applyProtection="1">
      <alignment horizontal="center" vertical="top" wrapText="1"/>
    </xf>
    <xf numFmtId="0" fontId="16" fillId="0" borderId="0" xfId="3" applyFont="1" applyFill="1" applyBorder="1" applyAlignment="1">
      <alignment horizontal="center" vertical="top" wrapText="1"/>
    </xf>
    <xf numFmtId="0" fontId="16" fillId="0" borderId="13" xfId="3" applyFont="1" applyFill="1" applyBorder="1" applyAlignment="1">
      <alignment horizontal="center" vertical="top" wrapText="1"/>
    </xf>
    <xf numFmtId="171" fontId="15" fillId="0" borderId="24" xfId="8" applyFont="1" applyFill="1" applyBorder="1" applyAlignment="1" applyProtection="1">
      <alignment horizontal="center" vertical="top" wrapText="1"/>
    </xf>
    <xf numFmtId="171" fontId="15" fillId="0" borderId="7" xfId="8" applyFont="1" applyFill="1" applyBorder="1" applyAlignment="1" applyProtection="1">
      <alignment horizontal="center" vertical="top" wrapText="1"/>
    </xf>
    <xf numFmtId="171" fontId="15" fillId="0" borderId="9" xfId="8" applyFont="1" applyFill="1" applyBorder="1" applyAlignment="1" applyProtection="1">
      <alignment horizontal="center" vertical="top" wrapText="1"/>
    </xf>
    <xf numFmtId="0" fontId="15" fillId="0" borderId="18" xfId="3" applyFont="1" applyFill="1" applyBorder="1" applyAlignment="1">
      <alignment vertical="top" wrapText="1"/>
    </xf>
    <xf numFmtId="171" fontId="15" fillId="0" borderId="41" xfId="8" applyFont="1" applyFill="1" applyBorder="1" applyAlignment="1" applyProtection="1">
      <alignment horizontal="center" vertical="top" wrapText="1"/>
    </xf>
    <xf numFmtId="171" fontId="15" fillId="0" borderId="42" xfId="8" applyFont="1" applyFill="1" applyBorder="1" applyAlignment="1" applyProtection="1">
      <alignment horizontal="center" vertical="top" wrapText="1"/>
    </xf>
    <xf numFmtId="171" fontId="15" fillId="0" borderId="37" xfId="8" applyFont="1" applyFill="1" applyBorder="1" applyAlignment="1" applyProtection="1">
      <alignment horizontal="center" vertical="top" wrapText="1"/>
    </xf>
    <xf numFmtId="0" fontId="15" fillId="0" borderId="22" xfId="3" applyFont="1" applyFill="1" applyBorder="1" applyAlignment="1">
      <alignment vertical="top" wrapText="1"/>
    </xf>
    <xf numFmtId="0" fontId="15" fillId="0" borderId="9" xfId="3" applyFont="1" applyFill="1" applyBorder="1" applyAlignment="1">
      <alignment horizontal="center" vertical="top" wrapText="1"/>
    </xf>
    <xf numFmtId="0" fontId="15" fillId="0" borderId="30" xfId="3" applyFont="1" applyFill="1" applyBorder="1" applyAlignment="1">
      <alignment horizontal="center" vertical="top" wrapText="1"/>
    </xf>
    <xf numFmtId="172" fontId="16" fillId="0" borderId="39" xfId="8" applyNumberFormat="1" applyFont="1" applyFill="1" applyBorder="1" applyAlignment="1" applyProtection="1">
      <alignment horizontal="center" vertical="top" wrapText="1" readingOrder="1"/>
    </xf>
    <xf numFmtId="172" fontId="16" fillId="0" borderId="33" xfId="8" applyNumberFormat="1" applyFont="1" applyFill="1" applyBorder="1" applyAlignment="1" applyProtection="1">
      <alignment horizontal="center" vertical="top" wrapText="1" readingOrder="1"/>
    </xf>
    <xf numFmtId="174" fontId="16" fillId="0" borderId="30" xfId="1" applyNumberFormat="1" applyFont="1" applyFill="1" applyBorder="1" applyAlignment="1" applyProtection="1">
      <alignment horizontal="center" vertical="top" wrapText="1"/>
    </xf>
    <xf numFmtId="174" fontId="16" fillId="0" borderId="37" xfId="1" applyNumberFormat="1" applyFont="1" applyFill="1" applyBorder="1" applyAlignment="1" applyProtection="1">
      <alignment horizontal="center" vertical="top" wrapText="1"/>
    </xf>
    <xf numFmtId="43" fontId="20" fillId="0" borderId="13" xfId="5" applyFont="1" applyFill="1" applyBorder="1" applyAlignment="1">
      <alignment vertical="top" wrapText="1"/>
    </xf>
    <xf numFmtId="43" fontId="20" fillId="0" borderId="14" xfId="5" applyFont="1" applyFill="1" applyBorder="1" applyAlignment="1">
      <alignment vertical="top" wrapText="1"/>
    </xf>
    <xf numFmtId="0" fontId="15" fillId="0" borderId="46" xfId="3" applyFont="1" applyFill="1" applyBorder="1" applyAlignment="1">
      <alignment horizontal="center" vertical="center" wrapText="1"/>
    </xf>
    <xf numFmtId="0" fontId="16" fillId="0" borderId="29" xfId="3" applyFont="1" applyFill="1" applyBorder="1" applyAlignment="1">
      <alignment vertical="top" wrapText="1"/>
    </xf>
    <xf numFmtId="165" fontId="0" fillId="0" borderId="1" xfId="0" applyNumberFormat="1" applyFont="1" applyFill="1" applyBorder="1"/>
    <xf numFmtId="0" fontId="2" fillId="0" borderId="8" xfId="0" applyFont="1" applyFill="1" applyBorder="1"/>
    <xf numFmtId="0" fontId="0" fillId="4" borderId="0" xfId="0" applyFill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4" xfId="3" applyFont="1" applyFill="1" applyBorder="1" applyAlignment="1">
      <alignment horizontal="center"/>
    </xf>
    <xf numFmtId="0" fontId="13" fillId="0" borderId="22" xfId="3" applyFont="1" applyFill="1" applyBorder="1" applyAlignment="1">
      <alignment horizontal="center"/>
    </xf>
    <xf numFmtId="0" fontId="13" fillId="0" borderId="23" xfId="3" applyFont="1" applyFill="1" applyBorder="1" applyAlignment="1">
      <alignment horizontal="center"/>
    </xf>
    <xf numFmtId="0" fontId="14" fillId="0" borderId="2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10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15" fillId="0" borderId="32" xfId="3" applyFont="1" applyFill="1" applyBorder="1" applyAlignment="1">
      <alignment horizontal="center" vertical="center" wrapText="1"/>
    </xf>
    <xf numFmtId="0" fontId="15" fillId="0" borderId="24" xfId="3" applyFont="1" applyFill="1" applyBorder="1" applyAlignment="1">
      <alignment horizontal="center" vertical="center" wrapText="1"/>
    </xf>
    <xf numFmtId="0" fontId="15" fillId="0" borderId="35" xfId="3" applyFont="1" applyFill="1" applyBorder="1" applyAlignment="1">
      <alignment horizontal="center" vertical="center" wrapText="1"/>
    </xf>
    <xf numFmtId="0" fontId="15" fillId="0" borderId="5" xfId="3" applyFont="1" applyFill="1" applyBorder="1" applyAlignment="1">
      <alignment vertical="top" wrapText="1"/>
    </xf>
    <xf numFmtId="0" fontId="14" fillId="0" borderId="31" xfId="3" applyFont="1" applyFill="1" applyBorder="1" applyAlignment="1">
      <alignment horizontal="center" vertical="center" wrapText="1"/>
    </xf>
    <xf numFmtId="0" fontId="14" fillId="0" borderId="32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left" vertical="top" wrapText="1"/>
    </xf>
    <xf numFmtId="0" fontId="15" fillId="0" borderId="21" xfId="3" applyFont="1" applyFill="1" applyBorder="1" applyAlignment="1">
      <alignment horizontal="left" vertical="top" wrapText="1"/>
    </xf>
    <xf numFmtId="0" fontId="15" fillId="0" borderId="17" xfId="3" applyFont="1" applyFill="1" applyBorder="1" applyAlignment="1">
      <alignment horizontal="center" vertical="top" wrapText="1"/>
    </xf>
    <xf numFmtId="0" fontId="15" fillId="0" borderId="19" xfId="3" applyFont="1" applyFill="1" applyBorder="1" applyAlignment="1">
      <alignment horizontal="center" vertical="top" wrapText="1"/>
    </xf>
    <xf numFmtId="0" fontId="14" fillId="0" borderId="6" xfId="3" applyFont="1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5" fillId="0" borderId="20" xfId="3" applyFont="1" applyFill="1" applyBorder="1" applyAlignment="1">
      <alignment horizontal="left" vertical="center" wrapText="1"/>
    </xf>
    <xf numFmtId="0" fontId="15" fillId="0" borderId="25" xfId="3" applyFont="1" applyFill="1" applyBorder="1" applyAlignment="1">
      <alignment horizontal="left" vertical="center" wrapText="1"/>
    </xf>
    <xf numFmtId="0" fontId="15" fillId="0" borderId="30" xfId="3" applyFont="1" applyFill="1" applyBorder="1" applyAlignment="1">
      <alignment horizontal="left" vertical="center" wrapText="1"/>
    </xf>
    <xf numFmtId="0" fontId="15" fillId="0" borderId="29" xfId="3" applyFont="1" applyFill="1" applyBorder="1" applyAlignment="1">
      <alignment horizontal="left" vertical="center" wrapText="1"/>
    </xf>
    <xf numFmtId="0" fontId="16" fillId="0" borderId="20" xfId="3" applyFont="1" applyFill="1" applyBorder="1" applyAlignment="1">
      <alignment horizontal="left" vertical="top" wrapText="1"/>
    </xf>
    <xf numFmtId="0" fontId="16" fillId="0" borderId="25" xfId="3" applyFont="1" applyFill="1" applyBorder="1" applyAlignment="1">
      <alignment horizontal="left" vertical="top" wrapText="1"/>
    </xf>
    <xf numFmtId="0" fontId="16" fillId="0" borderId="14" xfId="3" applyFont="1" applyFill="1" applyBorder="1" applyAlignment="1">
      <alignment horizontal="left" vertical="top" wrapText="1"/>
    </xf>
    <xf numFmtId="0" fontId="16" fillId="0" borderId="22" xfId="3" applyFont="1" applyFill="1" applyBorder="1" applyAlignment="1">
      <alignment horizontal="left" vertical="top" wrapText="1"/>
    </xf>
    <xf numFmtId="0" fontId="14" fillId="0" borderId="22" xfId="3" applyFont="1" applyFill="1" applyBorder="1" applyAlignment="1">
      <alignment horizontal="center" vertical="center" wrapText="1"/>
    </xf>
    <xf numFmtId="0" fontId="14" fillId="0" borderId="23" xfId="3" applyFont="1" applyFill="1" applyBorder="1" applyAlignment="1">
      <alignment horizontal="center" vertical="center" wrapText="1"/>
    </xf>
    <xf numFmtId="0" fontId="14" fillId="0" borderId="38" xfId="3" applyFont="1" applyFill="1" applyBorder="1" applyAlignment="1">
      <alignment horizontal="center" vertical="center" wrapText="1"/>
    </xf>
    <xf numFmtId="0" fontId="14" fillId="0" borderId="36" xfId="3" applyFont="1" applyFill="1" applyBorder="1" applyAlignment="1">
      <alignment horizontal="center" vertical="center" wrapText="1"/>
    </xf>
    <xf numFmtId="172" fontId="16" fillId="0" borderId="30" xfId="8" applyNumberFormat="1" applyFont="1" applyFill="1" applyBorder="1" applyAlignment="1" applyProtection="1">
      <alignment horizontal="center" vertical="top" wrapText="1" readingOrder="1"/>
    </xf>
    <xf numFmtId="172" fontId="16" fillId="0" borderId="37" xfId="8" applyNumberFormat="1" applyFont="1" applyFill="1" applyBorder="1" applyAlignment="1" applyProtection="1">
      <alignment horizontal="center" vertical="top" wrapText="1" readingOrder="1"/>
    </xf>
    <xf numFmtId="174" fontId="16" fillId="0" borderId="14" xfId="1" applyNumberFormat="1" applyFont="1" applyFill="1" applyBorder="1" applyAlignment="1" applyProtection="1">
      <alignment horizontal="center" vertical="top" wrapText="1"/>
    </xf>
    <xf numFmtId="174" fontId="16" fillId="0" borderId="23" xfId="1" applyNumberFormat="1" applyFont="1" applyFill="1" applyBorder="1" applyAlignment="1" applyProtection="1">
      <alignment horizontal="center" vertical="top" wrapText="1"/>
    </xf>
    <xf numFmtId="0" fontId="15" fillId="0" borderId="14" xfId="3" applyFont="1" applyFill="1" applyBorder="1" applyAlignment="1">
      <alignment horizontal="left" vertical="top" wrapText="1"/>
    </xf>
    <xf numFmtId="0" fontId="15" fillId="0" borderId="22" xfId="3" applyFont="1" applyFill="1" applyBorder="1" applyAlignment="1">
      <alignment horizontal="left" vertical="top" wrapText="1"/>
    </xf>
    <xf numFmtId="172" fontId="16" fillId="0" borderId="14" xfId="1" applyNumberFormat="1" applyFont="1" applyFill="1" applyBorder="1" applyAlignment="1" applyProtection="1">
      <alignment horizontal="center" vertical="top" wrapText="1"/>
    </xf>
    <xf numFmtId="172" fontId="16" fillId="0" borderId="23" xfId="1" applyNumberFormat="1" applyFont="1" applyFill="1" applyBorder="1" applyAlignment="1" applyProtection="1">
      <alignment horizontal="center" vertical="top" wrapText="1"/>
    </xf>
    <xf numFmtId="172" fontId="16" fillId="0" borderId="24" xfId="8" applyNumberFormat="1" applyFont="1" applyFill="1" applyBorder="1" applyAlignment="1" applyProtection="1">
      <alignment horizontal="center" vertical="top" wrapText="1" readingOrder="1"/>
    </xf>
    <xf numFmtId="172" fontId="16" fillId="0" borderId="43" xfId="8" applyNumberFormat="1" applyFont="1" applyFill="1" applyBorder="1" applyAlignment="1" applyProtection="1">
      <alignment horizontal="center" vertical="top" wrapText="1" readingOrder="1"/>
    </xf>
    <xf numFmtId="172" fontId="16" fillId="0" borderId="44" xfId="8" applyNumberFormat="1" applyFont="1" applyFill="1" applyBorder="1" applyAlignment="1" applyProtection="1">
      <alignment horizontal="center" vertical="top" wrapText="1" readingOrder="1"/>
    </xf>
    <xf numFmtId="172" fontId="16" fillId="0" borderId="45" xfId="8" applyNumberFormat="1" applyFont="1" applyFill="1" applyBorder="1" applyAlignment="1" applyProtection="1">
      <alignment horizontal="center" vertical="top" wrapText="1" readingOrder="1"/>
    </xf>
    <xf numFmtId="175" fontId="16" fillId="0" borderId="14" xfId="3" applyNumberFormat="1" applyFont="1" applyFill="1" applyBorder="1" applyAlignment="1">
      <alignment horizontal="center" vertical="top" wrapText="1"/>
    </xf>
    <xf numFmtId="175" fontId="16" fillId="0" borderId="23" xfId="3" applyNumberFormat="1" applyFont="1" applyFill="1" applyBorder="1" applyAlignment="1">
      <alignment horizontal="center" vertical="top" wrapText="1"/>
    </xf>
    <xf numFmtId="0" fontId="15" fillId="0" borderId="23" xfId="3" applyFont="1" applyFill="1" applyBorder="1" applyAlignment="1">
      <alignment horizontal="left" vertical="top" wrapText="1"/>
    </xf>
    <xf numFmtId="172" fontId="16" fillId="0" borderId="14" xfId="8" applyNumberFormat="1" applyFont="1" applyFill="1" applyBorder="1" applyAlignment="1" applyProtection="1">
      <alignment horizontal="center" vertical="top" wrapText="1" readingOrder="1"/>
    </xf>
    <xf numFmtId="172" fontId="16" fillId="0" borderId="23" xfId="8" applyNumberFormat="1" applyFont="1" applyFill="1" applyBorder="1" applyAlignment="1" applyProtection="1">
      <alignment horizontal="center" vertical="top" wrapText="1" readingOrder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2" applyFont="1" applyFill="1" applyBorder="1" applyAlignment="1">
      <alignment horizontal="left" vertical="center" wrapText="1"/>
    </xf>
    <xf numFmtId="0" fontId="10" fillId="0" borderId="26" xfId="2" applyFont="1" applyFill="1" applyBorder="1" applyAlignment="1">
      <alignment horizontal="left" vertical="center" wrapText="1"/>
    </xf>
    <xf numFmtId="0" fontId="10" fillId="0" borderId="27" xfId="2" applyFont="1" applyFill="1" applyBorder="1" applyAlignment="1">
      <alignment horizontal="left" vertical="center" wrapText="1"/>
    </xf>
    <xf numFmtId="0" fontId="10" fillId="0" borderId="28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3" borderId="0" xfId="0" applyFont="1" applyFill="1" applyBorder="1" applyAlignment="1">
      <alignment horizontal="justify" vertical="top" wrapText="1"/>
    </xf>
    <xf numFmtId="0" fontId="19" fillId="0" borderId="0" xfId="0" applyFont="1" applyBorder="1" applyAlignment="1">
      <alignment horizontal="center"/>
    </xf>
    <xf numFmtId="0" fontId="9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47" xfId="0" applyFill="1" applyBorder="1" applyAlignment="1">
      <alignment wrapText="1"/>
    </xf>
    <xf numFmtId="0" fontId="0" fillId="0" borderId="47" xfId="0" applyFill="1" applyBorder="1"/>
    <xf numFmtId="0" fontId="18" fillId="0" borderId="0" xfId="0" applyFont="1" applyFill="1" applyBorder="1" applyAlignment="1">
      <alignment horizontal="center"/>
    </xf>
    <xf numFmtId="0" fontId="10" fillId="0" borderId="0" xfId="0" applyFont="1" applyFill="1"/>
    <xf numFmtId="3" fontId="10" fillId="0" borderId="0" xfId="0" applyNumberFormat="1" applyFont="1" applyFill="1"/>
    <xf numFmtId="0" fontId="11" fillId="0" borderId="0" xfId="2" applyFont="1" applyFill="1"/>
    <xf numFmtId="0" fontId="10" fillId="0" borderId="0" xfId="2" applyFont="1" applyFill="1"/>
    <xf numFmtId="0" fontId="9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12">
    <cellStyle name="Moeda 2" xfId="1"/>
    <cellStyle name="Normal" xfId="0" builtinId="0"/>
    <cellStyle name="Normal 2" xfId="2"/>
    <cellStyle name="Normal 2 2" xfId="11"/>
    <cellStyle name="Normal 3" xfId="3"/>
    <cellStyle name="Porcentagem" xfId="4" builtinId="5"/>
    <cellStyle name="Separador de milhares" xfId="5" builtinId="3"/>
    <cellStyle name="Separador de milhares 2" xfId="6"/>
    <cellStyle name="Separador de milhares 3" xfId="7"/>
    <cellStyle name="Separador de milhares 4" xfId="8"/>
    <cellStyle name="Separador de milhares 6" xfId="9"/>
    <cellStyle name="Separador de milhares 6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1025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1026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581026</xdr:colOff>
      <xdr:row>22</xdr:row>
      <xdr:rowOff>122510</xdr:rowOff>
    </xdr:from>
    <xdr:ext cx="3600450" cy="643876"/>
    <xdr:pic>
      <xdr:nvPicPr>
        <xdr:cNvPr id="4" name="Picture 1" descr="https://oorcamentista.com.br/wp-content/uploads/2018/02/formula-bdi.jpg">
          <a:extLst>
            <a:ext uri="{FF2B5EF4-FFF2-40B4-BE49-F238E27FC236}">
              <a16:creationId xmlns="" xmlns:a16="http://schemas.microsoft.com/office/drawing/2014/main" id="{85A65A15-D788-454A-BF20-08D285E6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359"/>
        <a:stretch>
          <a:fillRect/>
        </a:stretch>
      </xdr:blipFill>
      <xdr:spPr bwMode="auto">
        <a:xfrm>
          <a:off x="1409701" y="4284935"/>
          <a:ext cx="3600450" cy="643876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307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3074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4097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4098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5121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512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6145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6146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819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3</xdr:row>
      <xdr:rowOff>85725</xdr:rowOff>
    </xdr:to>
    <xdr:pic>
      <xdr:nvPicPr>
        <xdr:cNvPr id="7169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7170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962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38101</xdr:rowOff>
    </xdr:from>
    <xdr:to>
      <xdr:col>0</xdr:col>
      <xdr:colOff>904875</xdr:colOff>
      <xdr:row>3</xdr:row>
      <xdr:rowOff>123826</xdr:rowOff>
    </xdr:to>
    <xdr:pic>
      <xdr:nvPicPr>
        <xdr:cNvPr id="10241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1"/>
          <a:ext cx="828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628650</xdr:colOff>
      <xdr:row>0</xdr:row>
      <xdr:rowOff>47626</xdr:rowOff>
    </xdr:from>
    <xdr:to>
      <xdr:col>5</xdr:col>
      <xdr:colOff>704850</xdr:colOff>
      <xdr:row>3</xdr:row>
      <xdr:rowOff>114301</xdr:rowOff>
    </xdr:to>
    <xdr:pic>
      <xdr:nvPicPr>
        <xdr:cNvPr id="1024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47626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28576</xdr:rowOff>
    </xdr:from>
    <xdr:to>
      <xdr:col>1</xdr:col>
      <xdr:colOff>57150</xdr:colOff>
      <xdr:row>3</xdr:row>
      <xdr:rowOff>114301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6"/>
          <a:ext cx="7429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628650</xdr:colOff>
      <xdr:row>0</xdr:row>
      <xdr:rowOff>47626</xdr:rowOff>
    </xdr:from>
    <xdr:to>
      <xdr:col>5</xdr:col>
      <xdr:colOff>704850</xdr:colOff>
      <xdr:row>3</xdr:row>
      <xdr:rowOff>114301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47626"/>
          <a:ext cx="7905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581026</xdr:colOff>
      <xdr:row>23</xdr:row>
      <xdr:rowOff>122510</xdr:rowOff>
    </xdr:from>
    <xdr:ext cx="3600450" cy="643876"/>
    <xdr:pic>
      <xdr:nvPicPr>
        <xdr:cNvPr id="4" name="Picture 1" descr="https://oorcamentista.com.br/wp-content/uploads/2018/02/formula-bdi.jpg">
          <a:extLst>
            <a:ext uri="{FF2B5EF4-FFF2-40B4-BE49-F238E27FC236}">
              <a16:creationId xmlns="" xmlns:a16="http://schemas.microsoft.com/office/drawing/2014/main" id="{85A65A15-D788-454A-BF20-08D285E6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359"/>
        <a:stretch>
          <a:fillRect/>
        </a:stretch>
      </xdr:blipFill>
      <xdr:spPr bwMode="auto">
        <a:xfrm>
          <a:off x="1409701" y="4284935"/>
          <a:ext cx="3600450" cy="643876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DEPARTAMENTO%20DE%20ENGENHARIA/Documentos/Or&#231;amentos/Or&#231;amentos-2014/Or&#231;amento%20Modelo%202014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rio/AppData/Local/Microsoft/Windows/Temporary%20Internet%20Files/Content.Outlook/EHSKBK5Z/BNB%20PLAG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o"/>
      <sheetName val="Cronograma"/>
      <sheetName val="BDI"/>
      <sheetName val="LSO"/>
      <sheetName val="IA"/>
      <sheetName val="CM"/>
      <sheetName val="Composições"/>
      <sheetName val="M_deCálculoTérreo"/>
      <sheetName val="Res_M_deCálculo"/>
      <sheetName val="DistPolos"/>
      <sheetName val="Insumos"/>
      <sheetName val="CPU-12-14"/>
      <sheetName val="INS-12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>
            <v>0.25</v>
          </cell>
        </row>
        <row r="201">
          <cell r="F201">
            <v>32.53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Adicional_h"/>
      <sheetName val="Hh"/>
      <sheetName val="Benefícios"/>
      <sheetName val="Uniforme e EPI"/>
      <sheetName val="Serviços"/>
      <sheetName val="Dep"/>
      <sheetName val="DOV"/>
      <sheetName val="Insumos"/>
      <sheetName val="PMS"/>
      <sheetName val="ES"/>
      <sheetName val="MC"/>
      <sheetName val="HP"/>
      <sheetName val="ADII"/>
      <sheetName val="Consolidado_Geral"/>
      <sheetName val="Consolidado_D"/>
      <sheetName val="."/>
      <sheetName val="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9">
          <cell r="G9">
            <v>3633515.98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2:K24"/>
  <sheetViews>
    <sheetView tabSelected="1" view="pageBreakPreview" zoomScale="90" zoomScaleNormal="90" zoomScaleSheetLayoutView="90" workbookViewId="0">
      <selection activeCell="N10" sqref="N10"/>
    </sheetView>
  </sheetViews>
  <sheetFormatPr defaultRowHeight="15"/>
  <cols>
    <col min="1" max="1" width="11.28515625" style="69" bestFit="1" customWidth="1"/>
    <col min="2" max="2" width="9.42578125" style="69" customWidth="1"/>
    <col min="3" max="3" width="11" style="69" customWidth="1"/>
    <col min="4" max="4" width="5" style="69" customWidth="1"/>
    <col min="5" max="5" width="10" style="69" customWidth="1"/>
    <col min="6" max="6" width="11.42578125" style="69" bestFit="1" customWidth="1"/>
    <col min="7" max="7" width="13.5703125" style="69" bestFit="1" customWidth="1"/>
    <col min="8" max="8" width="12.5703125" style="69" bestFit="1" customWidth="1"/>
    <col min="9" max="9" width="10.28515625" style="69" customWidth="1"/>
    <col min="10" max="10" width="14.42578125" style="69" bestFit="1" customWidth="1"/>
    <col min="11" max="11" width="12.140625" style="69" customWidth="1"/>
    <col min="12" max="12" width="9.140625" style="69"/>
    <col min="13" max="13" width="13.42578125" style="69" customWidth="1"/>
    <col min="14" max="16384" width="9.140625" style="69"/>
  </cols>
  <sheetData>
    <row r="2" spans="1:11" ht="15.75" thickBot="1"/>
    <row r="3" spans="1:11" ht="15.75" thickBot="1">
      <c r="A3" s="112" t="s">
        <v>108</v>
      </c>
      <c r="B3" s="113"/>
      <c r="C3" s="113"/>
      <c r="D3" s="113"/>
      <c r="E3" s="113"/>
      <c r="F3" s="113"/>
      <c r="G3" s="113"/>
      <c r="H3" s="113"/>
      <c r="I3" s="113"/>
      <c r="J3" s="113"/>
      <c r="K3" s="114"/>
    </row>
    <row r="4" spans="1:11" ht="47.25" customHeight="1" thickBot="1">
      <c r="A4" s="123" t="s">
        <v>69</v>
      </c>
      <c r="B4" s="129" t="s">
        <v>70</v>
      </c>
      <c r="C4" s="129"/>
      <c r="D4" s="115" t="s">
        <v>71</v>
      </c>
      <c r="E4" s="116"/>
      <c r="F4" s="117" t="s">
        <v>72</v>
      </c>
      <c r="G4" s="118"/>
      <c r="H4" s="141" t="s">
        <v>73</v>
      </c>
      <c r="I4" s="142"/>
      <c r="J4" s="139" t="s">
        <v>74</v>
      </c>
      <c r="K4" s="140"/>
    </row>
    <row r="5" spans="1:11" ht="35.65" customHeight="1" thickBot="1">
      <c r="A5" s="124"/>
      <c r="B5" s="130"/>
      <c r="C5" s="130"/>
      <c r="D5" s="70" t="s">
        <v>75</v>
      </c>
      <c r="E5" s="71" t="s">
        <v>76</v>
      </c>
      <c r="F5" s="72" t="s">
        <v>75</v>
      </c>
      <c r="G5" s="73" t="s">
        <v>77</v>
      </c>
      <c r="H5" s="74" t="s">
        <v>75</v>
      </c>
      <c r="I5" s="75" t="s">
        <v>78</v>
      </c>
      <c r="J5" s="76" t="s">
        <v>75</v>
      </c>
      <c r="K5" s="77" t="s">
        <v>79</v>
      </c>
    </row>
    <row r="6" spans="1:11" ht="15.75" customHeight="1" thickBot="1">
      <c r="A6" s="119" t="s">
        <v>101</v>
      </c>
      <c r="B6" s="122" t="s">
        <v>80</v>
      </c>
      <c r="C6" s="122"/>
      <c r="D6" s="78">
        <v>6</v>
      </c>
      <c r="E6" s="79">
        <v>40</v>
      </c>
      <c r="F6" s="80">
        <f>'Anexo 02_1'!C80</f>
        <v>5976.38</v>
      </c>
      <c r="G6" s="81">
        <f>'Anexo 02_1'!C83</f>
        <v>35.270000000000003</v>
      </c>
      <c r="H6" s="82">
        <f t="shared" ref="H6:I12" si="0">ROUND(D6*F6,2)</f>
        <v>35858.28</v>
      </c>
      <c r="I6" s="83">
        <f t="shared" si="0"/>
        <v>1410.8</v>
      </c>
      <c r="J6" s="84">
        <f t="shared" ref="J6:K12" si="1">ROUND(H6*12,2)</f>
        <v>430299.36</v>
      </c>
      <c r="K6" s="84">
        <f t="shared" si="1"/>
        <v>16929.599999999999</v>
      </c>
    </row>
    <row r="7" spans="1:11" ht="15.75" customHeight="1" thickBot="1">
      <c r="A7" s="119"/>
      <c r="B7" s="122" t="s">
        <v>81</v>
      </c>
      <c r="C7" s="122"/>
      <c r="D7" s="78">
        <v>6</v>
      </c>
      <c r="E7" s="85">
        <v>40</v>
      </c>
      <c r="F7" s="80">
        <f>'Anexo 02_2'!C80</f>
        <v>5976.38</v>
      </c>
      <c r="G7" s="81">
        <f>'Anexo 02_2'!C83</f>
        <v>35.270000000000003</v>
      </c>
      <c r="H7" s="82">
        <f t="shared" si="0"/>
        <v>35858.28</v>
      </c>
      <c r="I7" s="83">
        <f t="shared" si="0"/>
        <v>1410.8</v>
      </c>
      <c r="J7" s="84">
        <f t="shared" si="1"/>
        <v>430299.36</v>
      </c>
      <c r="K7" s="84">
        <f t="shared" si="1"/>
        <v>16929.599999999999</v>
      </c>
    </row>
    <row r="8" spans="1:11" ht="15.75" customHeight="1" thickBot="1">
      <c r="A8" s="119"/>
      <c r="B8" s="122" t="s">
        <v>82</v>
      </c>
      <c r="C8" s="122"/>
      <c r="D8" s="78">
        <v>10</v>
      </c>
      <c r="E8" s="85">
        <v>40</v>
      </c>
      <c r="F8" s="80">
        <f>'Anexo 02_3'!C80</f>
        <v>4124.18</v>
      </c>
      <c r="G8" s="81">
        <f>'Anexo 02_3'!C83</f>
        <v>20.84</v>
      </c>
      <c r="H8" s="82">
        <f t="shared" si="0"/>
        <v>41241.800000000003</v>
      </c>
      <c r="I8" s="83">
        <f t="shared" si="0"/>
        <v>833.6</v>
      </c>
      <c r="J8" s="84">
        <f t="shared" si="1"/>
        <v>494901.6</v>
      </c>
      <c r="K8" s="84">
        <f t="shared" si="1"/>
        <v>10003.200000000001</v>
      </c>
    </row>
    <row r="9" spans="1:11" ht="15.75" customHeight="1" thickBot="1">
      <c r="A9" s="119"/>
      <c r="B9" s="122" t="s">
        <v>83</v>
      </c>
      <c r="C9" s="122"/>
      <c r="D9" s="78">
        <v>6</v>
      </c>
      <c r="E9" s="85">
        <v>40</v>
      </c>
      <c r="F9" s="80">
        <f>'Anexo 02_4'!C80</f>
        <v>3331.4500000000003</v>
      </c>
      <c r="G9" s="81">
        <f>'Anexo 02_4'!C83</f>
        <v>16.329999999999998</v>
      </c>
      <c r="H9" s="82">
        <f t="shared" si="0"/>
        <v>19988.7</v>
      </c>
      <c r="I9" s="83">
        <f t="shared" si="0"/>
        <v>653.20000000000005</v>
      </c>
      <c r="J9" s="84">
        <f t="shared" si="1"/>
        <v>239864.4</v>
      </c>
      <c r="K9" s="84">
        <f t="shared" si="1"/>
        <v>7838.4</v>
      </c>
    </row>
    <row r="10" spans="1:11" ht="15.75" customHeight="1" thickBot="1">
      <c r="A10" s="119"/>
      <c r="B10" s="122" t="s">
        <v>99</v>
      </c>
      <c r="C10" s="122"/>
      <c r="D10" s="78">
        <v>2</v>
      </c>
      <c r="E10" s="85">
        <v>0</v>
      </c>
      <c r="F10" s="80">
        <f>'Anexo 02_5'!C80</f>
        <v>6984.6399999999994</v>
      </c>
      <c r="G10" s="81">
        <f>'Anexo 02_5'!C83</f>
        <v>35.270000000000003</v>
      </c>
      <c r="H10" s="82">
        <f t="shared" si="0"/>
        <v>13969.28</v>
      </c>
      <c r="I10" s="83">
        <f t="shared" si="0"/>
        <v>0</v>
      </c>
      <c r="J10" s="84">
        <f t="shared" si="1"/>
        <v>167631.35999999999</v>
      </c>
      <c r="K10" s="84">
        <f t="shared" si="1"/>
        <v>0</v>
      </c>
    </row>
    <row r="11" spans="1:11" ht="15.75" customHeight="1" thickBot="1">
      <c r="A11" s="119"/>
      <c r="B11" s="125" t="s">
        <v>92</v>
      </c>
      <c r="C11" s="126"/>
      <c r="D11" s="78">
        <v>10</v>
      </c>
      <c r="E11" s="85">
        <v>40</v>
      </c>
      <c r="F11" s="80">
        <f>'Anexo 02_6'!C80</f>
        <v>5976.38</v>
      </c>
      <c r="G11" s="81">
        <f>'Anexo 02_6'!C83</f>
        <v>35.270000000000003</v>
      </c>
      <c r="H11" s="82">
        <f t="shared" si="0"/>
        <v>59763.8</v>
      </c>
      <c r="I11" s="83">
        <f t="shared" si="0"/>
        <v>1410.8</v>
      </c>
      <c r="J11" s="84">
        <f t="shared" si="1"/>
        <v>717165.6</v>
      </c>
      <c r="K11" s="86">
        <f t="shared" si="1"/>
        <v>16929.599999999999</v>
      </c>
    </row>
    <row r="12" spans="1:11" ht="15.75" customHeight="1" thickBot="1">
      <c r="A12" s="119"/>
      <c r="B12" s="127" t="s">
        <v>93</v>
      </c>
      <c r="C12" s="128"/>
      <c r="D12" s="87">
        <v>1</v>
      </c>
      <c r="E12" s="88">
        <v>120</v>
      </c>
      <c r="F12" s="80">
        <f>'Anexo 02_7'!C80</f>
        <v>5976.38</v>
      </c>
      <c r="G12" s="81">
        <f>'Anexo 02_7'!C83</f>
        <v>35.270000000000003</v>
      </c>
      <c r="H12" s="89">
        <f t="shared" si="0"/>
        <v>5976.38</v>
      </c>
      <c r="I12" s="83">
        <f t="shared" si="0"/>
        <v>4232.3999999999996</v>
      </c>
      <c r="J12" s="90">
        <f t="shared" si="1"/>
        <v>71716.56</v>
      </c>
      <c r="K12" s="91">
        <f t="shared" si="1"/>
        <v>50788.800000000003</v>
      </c>
    </row>
    <row r="13" spans="1:11" ht="15.75" customHeight="1" thickBot="1">
      <c r="A13" s="120"/>
      <c r="B13" s="147" t="s">
        <v>100</v>
      </c>
      <c r="C13" s="148"/>
      <c r="D13" s="148"/>
      <c r="E13" s="148"/>
      <c r="F13" s="92"/>
      <c r="G13" s="92"/>
      <c r="H13" s="93">
        <f>SUM(H6:H12)</f>
        <v>212656.52000000002</v>
      </c>
      <c r="I13" s="94">
        <f>SUM(I6:I12)</f>
        <v>9951.5999999999985</v>
      </c>
      <c r="J13" s="95">
        <f>SUM(J6:J12)</f>
        <v>2551878.2399999998</v>
      </c>
      <c r="K13" s="86">
        <f>SUM(K6:K12)</f>
        <v>119419.2</v>
      </c>
    </row>
    <row r="14" spans="1:11" ht="15.75" customHeight="1" thickBot="1">
      <c r="A14" s="120"/>
      <c r="B14" s="147" t="s">
        <v>84</v>
      </c>
      <c r="C14" s="148"/>
      <c r="D14" s="148"/>
      <c r="E14" s="148"/>
      <c r="F14" s="96"/>
      <c r="G14" s="96"/>
      <c r="H14" s="143">
        <f>SUM(H6:H12)+SUM(I6:I12)</f>
        <v>222608.12000000002</v>
      </c>
      <c r="I14" s="144"/>
      <c r="J14" s="145">
        <f>SUM(J6:J12)+SUM(K6:K12)</f>
        <v>2671297.44</v>
      </c>
      <c r="K14" s="146"/>
    </row>
    <row r="15" spans="1:11" ht="15.75" customHeight="1" thickBot="1">
      <c r="A15" s="121"/>
      <c r="B15" s="131" t="s">
        <v>138</v>
      </c>
      <c r="C15" s="132"/>
      <c r="D15" s="132"/>
      <c r="E15" s="132"/>
      <c r="F15" s="97" t="s">
        <v>75</v>
      </c>
      <c r="G15" s="98" t="s">
        <v>153</v>
      </c>
      <c r="H15" s="99"/>
      <c r="I15" s="100"/>
      <c r="J15" s="101"/>
      <c r="K15" s="102"/>
    </row>
    <row r="16" spans="1:11" ht="15.75" customHeight="1" thickBot="1">
      <c r="A16" s="121"/>
      <c r="B16" s="133"/>
      <c r="C16" s="134"/>
      <c r="D16" s="134"/>
      <c r="E16" s="134"/>
      <c r="F16" s="103">
        <v>70000</v>
      </c>
      <c r="G16" s="104">
        <f>ROUND(('Anexo 02_11'!D23)/100*LICITAÇÃO!F16,2)</f>
        <v>10696</v>
      </c>
      <c r="H16" s="151">
        <f>F16+G16</f>
        <v>80696</v>
      </c>
      <c r="I16" s="152"/>
      <c r="J16" s="149">
        <f>ROUND(12*H16,2)</f>
        <v>968352</v>
      </c>
      <c r="K16" s="150"/>
    </row>
    <row r="17" spans="1:11" ht="15.75" customHeight="1" thickBot="1">
      <c r="A17" s="105"/>
      <c r="B17" s="147" t="s">
        <v>160</v>
      </c>
      <c r="C17" s="148"/>
      <c r="D17" s="148"/>
      <c r="E17" s="148"/>
      <c r="F17" s="148"/>
      <c r="G17" s="157"/>
      <c r="H17" s="158">
        <v>12050</v>
      </c>
      <c r="I17" s="159"/>
      <c r="J17" s="149">
        <f>ROUND(12*H17,2)</f>
        <v>144600</v>
      </c>
      <c r="K17" s="150"/>
    </row>
    <row r="18" spans="1:11" ht="15.75" customHeight="1" thickBot="1">
      <c r="A18" s="135" t="s">
        <v>102</v>
      </c>
      <c r="B18" s="136"/>
      <c r="C18" s="136"/>
      <c r="D18" s="136"/>
      <c r="E18" s="136"/>
      <c r="F18" s="136"/>
      <c r="G18" s="136"/>
      <c r="H18" s="153">
        <f>H14+H16+H17</f>
        <v>315354.12</v>
      </c>
      <c r="I18" s="154"/>
      <c r="J18" s="155"/>
      <c r="K18" s="156"/>
    </row>
    <row r="19" spans="1:11" ht="15.75" customHeight="1" thickBot="1">
      <c r="A19" s="137" t="s">
        <v>103</v>
      </c>
      <c r="B19" s="138"/>
      <c r="C19" s="138"/>
      <c r="D19" s="138"/>
      <c r="E19" s="138"/>
      <c r="F19" s="138"/>
      <c r="G19" s="138"/>
      <c r="H19" s="106"/>
      <c r="I19" s="106"/>
      <c r="J19" s="149">
        <f>J14+J16+J17</f>
        <v>3784249.44</v>
      </c>
      <c r="K19" s="150"/>
    </row>
    <row r="24" spans="1:11">
      <c r="D24" s="69">
        <f>SUM(D6:D12)</f>
        <v>41</v>
      </c>
    </row>
  </sheetData>
  <sheetProtection selectLockedCells="1" selectUnlockedCells="1"/>
  <mergeCells count="30">
    <mergeCell ref="A18:G18"/>
    <mergeCell ref="A19:G19"/>
    <mergeCell ref="J4:K4"/>
    <mergeCell ref="H4:I4"/>
    <mergeCell ref="H14:I14"/>
    <mergeCell ref="J14:K14"/>
    <mergeCell ref="B13:E13"/>
    <mergeCell ref="B14:E14"/>
    <mergeCell ref="J19:K19"/>
    <mergeCell ref="H16:I16"/>
    <mergeCell ref="H18:I18"/>
    <mergeCell ref="J16:K16"/>
    <mergeCell ref="J18:K18"/>
    <mergeCell ref="B17:G17"/>
    <mergeCell ref="H17:I17"/>
    <mergeCell ref="J17:K17"/>
    <mergeCell ref="A3:K3"/>
    <mergeCell ref="D4:E4"/>
    <mergeCell ref="F4:G4"/>
    <mergeCell ref="A6:A16"/>
    <mergeCell ref="B6:C6"/>
    <mergeCell ref="B7:C7"/>
    <mergeCell ref="A4:A5"/>
    <mergeCell ref="B10:C10"/>
    <mergeCell ref="B11:C11"/>
    <mergeCell ref="B12:C12"/>
    <mergeCell ref="B4:C5"/>
    <mergeCell ref="B8:C8"/>
    <mergeCell ref="B9:C9"/>
    <mergeCell ref="B15:E16"/>
  </mergeCells>
  <phoneticPr fontId="0" type="noConversion"/>
  <pageMargins left="0.51180555555555551" right="0.51180555555555551" top="0.78749999999999998" bottom="0.78749999999999998" header="0.51180555555555551" footer="0.51180555555555551"/>
  <pageSetup paperSize="9" scale="64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Normal="90" zoomScaleSheetLayoutView="100" workbookViewId="0">
      <selection activeCell="H13" sqref="H13"/>
    </sheetView>
  </sheetViews>
  <sheetFormatPr defaultRowHeight="12.75"/>
  <cols>
    <col min="1" max="1" width="12.42578125" customWidth="1"/>
    <col min="2" max="2" width="42.28515625" customWidth="1"/>
    <col min="3" max="5" width="10.7109375" customWidth="1"/>
    <col min="6" max="6" width="14.28515625" customWidth="1"/>
  </cols>
  <sheetData>
    <row r="1" spans="1:7" s="1" customFormat="1">
      <c r="A1" s="42"/>
      <c r="B1" s="42"/>
    </row>
    <row r="2" spans="1:7" s="1" customFormat="1" ht="18.75" customHeight="1">
      <c r="A2" s="162" t="s">
        <v>46</v>
      </c>
      <c r="B2" s="162"/>
      <c r="C2" s="162"/>
      <c r="D2" s="162"/>
      <c r="E2" s="162"/>
      <c r="F2" s="162"/>
    </row>
    <row r="3" spans="1:7" s="1" customFormat="1">
      <c r="A3" s="170" t="s">
        <v>159</v>
      </c>
      <c r="B3" s="170"/>
      <c r="C3" s="170"/>
      <c r="D3" s="170"/>
      <c r="E3" s="170"/>
      <c r="F3" s="170"/>
    </row>
    <row r="4" spans="1:7" s="1" customFormat="1" ht="15" customHeight="1">
      <c r="A4" s="45"/>
      <c r="B4" s="45"/>
    </row>
    <row r="5" spans="1:7" ht="13.5" customHeight="1">
      <c r="A5" s="163" t="s">
        <v>1</v>
      </c>
      <c r="B5" s="163"/>
      <c r="C5" s="163"/>
      <c r="D5" s="163"/>
      <c r="E5" s="163"/>
      <c r="F5" s="163"/>
    </row>
    <row r="6" spans="1:7" ht="15" customHeight="1">
      <c r="A6" s="177" t="s">
        <v>168</v>
      </c>
      <c r="B6" s="177"/>
      <c r="C6" s="177"/>
      <c r="D6" s="177"/>
      <c r="E6" s="177"/>
      <c r="F6" s="177"/>
    </row>
    <row r="7" spans="1:7" ht="11.25" customHeight="1">
      <c r="A7" s="44"/>
      <c r="B7" s="44"/>
      <c r="C7" s="44"/>
      <c r="D7" s="44"/>
      <c r="E7" s="44"/>
      <c r="F7" s="44"/>
    </row>
    <row r="8" spans="1:7" ht="28.5" customHeight="1">
      <c r="A8" s="171" t="s">
        <v>133</v>
      </c>
      <c r="B8" s="171"/>
      <c r="C8" s="171"/>
      <c r="D8" s="171"/>
      <c r="E8" s="171"/>
      <c r="F8" s="171"/>
    </row>
    <row r="9" spans="1:7" ht="9.75" customHeight="1">
      <c r="A9" s="46"/>
      <c r="B9" s="46"/>
      <c r="C9" s="46"/>
      <c r="D9" s="46"/>
      <c r="E9" s="46"/>
      <c r="F9" s="46"/>
    </row>
    <row r="10" spans="1:7" s="1" customFormat="1" ht="25.5" customHeight="1">
      <c r="A10" s="172" t="s">
        <v>134</v>
      </c>
      <c r="B10" s="172"/>
      <c r="C10" s="172"/>
      <c r="D10" s="172"/>
      <c r="E10" s="172"/>
      <c r="F10" s="172"/>
    </row>
    <row r="11" spans="1:7" s="50" customFormat="1" ht="6" customHeight="1">
      <c r="A11" s="47"/>
      <c r="B11" s="47"/>
      <c r="C11" s="48"/>
      <c r="D11" s="48"/>
      <c r="E11" s="48"/>
      <c r="F11" s="47"/>
      <c r="G11" s="49"/>
    </row>
    <row r="12" spans="1:7" s="1" customFormat="1" ht="25.5" customHeight="1">
      <c r="A12" s="31"/>
      <c r="B12" s="57" t="s">
        <v>135</v>
      </c>
      <c r="C12" s="58" t="s">
        <v>136</v>
      </c>
      <c r="D12" s="58" t="s">
        <v>137</v>
      </c>
      <c r="E12" s="58" t="s">
        <v>151</v>
      </c>
      <c r="F12" s="31"/>
    </row>
    <row r="13" spans="1:7" s="1" customFormat="1" ht="12">
      <c r="A13" s="31"/>
      <c r="B13" s="52" t="s">
        <v>139</v>
      </c>
      <c r="C13" s="53">
        <v>1.4999999999999999E-2</v>
      </c>
      <c r="D13" s="53">
        <v>3.4500000000000003E-2</v>
      </c>
      <c r="E13" s="53">
        <v>4.4900000000000002E-2</v>
      </c>
      <c r="F13" s="31"/>
    </row>
    <row r="14" spans="1:7" s="1" customFormat="1" ht="12">
      <c r="A14" s="31"/>
      <c r="B14" s="52" t="s">
        <v>140</v>
      </c>
      <c r="C14" s="53">
        <v>3.0000000000000001E-3</v>
      </c>
      <c r="D14" s="53">
        <v>4.7999999999999996E-3</v>
      </c>
      <c r="E14" s="53">
        <v>8.2000000000000007E-3</v>
      </c>
      <c r="F14" s="31"/>
    </row>
    <row r="15" spans="1:7" s="1" customFormat="1" ht="12">
      <c r="A15" s="31"/>
      <c r="B15" s="52" t="s">
        <v>141</v>
      </c>
      <c r="C15" s="53">
        <v>5.5999999999999999E-3</v>
      </c>
      <c r="D15" s="53">
        <v>8.5000000000000006E-3</v>
      </c>
      <c r="E15" s="53">
        <v>8.8999999999999999E-3</v>
      </c>
      <c r="F15" s="31"/>
    </row>
    <row r="16" spans="1:7" s="1" customFormat="1" ht="12">
      <c r="A16" s="31"/>
      <c r="B16" s="52" t="s">
        <v>142</v>
      </c>
      <c r="C16" s="53">
        <v>8.5000000000000006E-3</v>
      </c>
      <c r="D16" s="53">
        <v>8.5000000000000006E-3</v>
      </c>
      <c r="E16" s="53">
        <v>1.11E-2</v>
      </c>
      <c r="F16" s="31"/>
    </row>
    <row r="17" spans="1:7" s="1" customFormat="1" ht="12">
      <c r="A17" s="31"/>
      <c r="B17" s="54" t="s">
        <v>143</v>
      </c>
      <c r="C17" s="53">
        <v>3.5000000000000003E-2</v>
      </c>
      <c r="D17" s="53">
        <v>5.11E-2</v>
      </c>
      <c r="E17" s="53">
        <v>6.2199999999999998E-2</v>
      </c>
      <c r="F17" s="31"/>
    </row>
    <row r="18" spans="1:7" s="1" customFormat="1" ht="12">
      <c r="A18" s="31"/>
      <c r="B18" s="52" t="s">
        <v>144</v>
      </c>
      <c r="C18" s="53"/>
      <c r="D18" s="53"/>
      <c r="E18" s="53"/>
      <c r="F18" s="31"/>
    </row>
    <row r="19" spans="1:7" s="1" customFormat="1" ht="12">
      <c r="A19" s="31"/>
      <c r="B19" s="52" t="s">
        <v>145</v>
      </c>
      <c r="C19" s="53">
        <v>0</v>
      </c>
      <c r="D19" s="53">
        <v>0</v>
      </c>
      <c r="E19" s="53">
        <v>0</v>
      </c>
      <c r="F19" s="31"/>
    </row>
    <row r="20" spans="1:7" s="1" customFormat="1" ht="12">
      <c r="A20" s="31"/>
      <c r="B20" s="52" t="s">
        <v>146</v>
      </c>
      <c r="C20" s="53">
        <v>6.4999999999999997E-3</v>
      </c>
      <c r="D20" s="53">
        <v>6.4999999999999997E-3</v>
      </c>
      <c r="E20" s="53">
        <v>6.4999999999999997E-3</v>
      </c>
      <c r="F20" s="31"/>
    </row>
    <row r="21" spans="1:7" s="1" customFormat="1" ht="12">
      <c r="A21" s="31"/>
      <c r="B21" s="52" t="s">
        <v>147</v>
      </c>
      <c r="C21" s="53">
        <v>0.03</v>
      </c>
      <c r="D21" s="53">
        <v>0.03</v>
      </c>
      <c r="E21" s="53">
        <v>0.03</v>
      </c>
      <c r="F21" s="31"/>
    </row>
    <row r="22" spans="1:7" s="1" customFormat="1" ht="12">
      <c r="A22" s="31"/>
      <c r="B22" s="52" t="s">
        <v>148</v>
      </c>
      <c r="C22" s="53">
        <v>0</v>
      </c>
      <c r="D22" s="53">
        <v>0</v>
      </c>
      <c r="E22" s="53">
        <v>0</v>
      </c>
      <c r="F22" s="31"/>
    </row>
    <row r="23" spans="1:7" s="50" customFormat="1" ht="14.1" customHeight="1">
      <c r="A23" s="47"/>
      <c r="B23" s="55" t="s">
        <v>149</v>
      </c>
      <c r="C23" s="56">
        <f>ROUND((((((1+C13+C14+C15)*(1+C16)*(1+C17))/(1-(C19+C20+C21+C22)))-1))*100,2)</f>
        <v>10.89</v>
      </c>
      <c r="D23" s="56">
        <f t="shared" ref="D23:E23" si="0">ROUND((((((1+D13+D14+D15)*(1+D16)*(1+D17))/(1-(D19+D20+D21+D22)))-1))*100,2)</f>
        <v>15.28</v>
      </c>
      <c r="E23" s="56">
        <f t="shared" si="0"/>
        <v>18.38</v>
      </c>
      <c r="F23" s="47"/>
      <c r="G23" s="49"/>
    </row>
    <row r="24" spans="1:7" s="50" customFormat="1" ht="14.1" customHeight="1">
      <c r="A24" s="47"/>
      <c r="B24" s="51"/>
      <c r="C24" s="48"/>
      <c r="D24" s="48"/>
      <c r="E24" s="48"/>
      <c r="F24" s="47"/>
      <c r="G24" s="49"/>
    </row>
    <row r="25" spans="1:7" s="50" customFormat="1" ht="14.1" customHeight="1">
      <c r="A25" s="47"/>
      <c r="B25" s="51"/>
      <c r="C25" s="48"/>
      <c r="D25" s="48"/>
      <c r="E25" s="48"/>
      <c r="F25" s="47"/>
      <c r="G25" s="49"/>
    </row>
    <row r="26" spans="1:7" s="50" customFormat="1" ht="14.1" customHeight="1">
      <c r="A26" s="47"/>
      <c r="B26" s="51"/>
      <c r="C26" s="48"/>
      <c r="D26" s="48"/>
      <c r="E26" s="48"/>
      <c r="F26" s="47"/>
      <c r="G26" s="49"/>
    </row>
    <row r="27" spans="1:7" s="50" customFormat="1" ht="14.1" customHeight="1">
      <c r="A27" s="47"/>
      <c r="B27" s="51"/>
      <c r="C27" s="48"/>
      <c r="D27" s="48"/>
      <c r="E27" s="48"/>
      <c r="F27" s="47"/>
      <c r="G27" s="49"/>
    </row>
    <row r="28" spans="1:7" s="50" customFormat="1" ht="14.1" customHeight="1">
      <c r="A28" s="47"/>
      <c r="B28" s="51"/>
      <c r="C28" s="48"/>
      <c r="D28" s="48"/>
      <c r="E28" s="48"/>
      <c r="F28" s="47"/>
      <c r="G28" s="49"/>
    </row>
    <row r="29" spans="1:7" s="31" customFormat="1" ht="13.5" customHeight="1">
      <c r="A29" s="168" t="s">
        <v>51</v>
      </c>
      <c r="B29" s="168"/>
      <c r="C29" s="168"/>
      <c r="D29" s="168"/>
      <c r="E29" s="168"/>
      <c r="F29" s="168"/>
    </row>
    <row r="30" spans="1:7" s="31" customFormat="1" ht="7.5" customHeight="1">
      <c r="A30" s="43"/>
      <c r="B30" s="43"/>
      <c r="C30" s="43"/>
      <c r="D30" s="43"/>
      <c r="E30" s="43"/>
      <c r="F30" s="43"/>
    </row>
    <row r="31" spans="1:7" s="31" customFormat="1" ht="27.75" customHeight="1">
      <c r="A31" s="169" t="s">
        <v>152</v>
      </c>
      <c r="B31" s="169"/>
      <c r="C31" s="169"/>
      <c r="D31" s="169"/>
      <c r="E31" s="169"/>
      <c r="F31" s="169"/>
    </row>
    <row r="32" spans="1:7" s="31" customFormat="1" ht="7.5" customHeight="1">
      <c r="A32" s="163"/>
      <c r="B32" s="163"/>
      <c r="C32" s="163"/>
      <c r="D32" s="163"/>
      <c r="E32" s="163"/>
      <c r="F32" s="163"/>
    </row>
    <row r="33" spans="1:6" s="31" customFormat="1" ht="78.75" customHeight="1">
      <c r="A33" s="171" t="s">
        <v>150</v>
      </c>
      <c r="B33" s="171"/>
      <c r="C33" s="171"/>
      <c r="D33" s="171"/>
      <c r="E33" s="171"/>
      <c r="F33" s="171"/>
    </row>
    <row r="34" spans="1:6" s="31" customFormat="1" ht="15" customHeight="1">
      <c r="A34" s="163"/>
      <c r="B34" s="163"/>
      <c r="C34" s="163"/>
      <c r="D34" s="163"/>
      <c r="E34" s="163"/>
      <c r="F34" s="163"/>
    </row>
    <row r="35" spans="1:6" ht="15" customHeight="1">
      <c r="A35" s="163"/>
      <c r="B35" s="163"/>
      <c r="C35" s="163"/>
      <c r="D35" s="163"/>
      <c r="E35" s="163"/>
      <c r="F35" s="163"/>
    </row>
    <row r="36" spans="1:6" ht="15" customHeight="1">
      <c r="A36" s="163"/>
      <c r="B36" s="163"/>
      <c r="C36" s="163"/>
      <c r="D36" s="163"/>
      <c r="E36" s="163"/>
      <c r="F36" s="163"/>
    </row>
    <row r="37" spans="1:6" ht="40.5" customHeight="1"/>
    <row r="38" spans="1:6" ht="30.75" customHeight="1"/>
    <row r="40" spans="1:6" ht="38.25" customHeight="1"/>
  </sheetData>
  <sheetProtection selectLockedCells="1" selectUnlockedCells="1"/>
  <mergeCells count="13">
    <mergeCell ref="A36:F36"/>
    <mergeCell ref="A32:F32"/>
    <mergeCell ref="A33:F33"/>
    <mergeCell ref="A34:F34"/>
    <mergeCell ref="A35:F35"/>
    <mergeCell ref="A29:F29"/>
    <mergeCell ref="A31:F31"/>
    <mergeCell ref="A2:F2"/>
    <mergeCell ref="A3:F3"/>
    <mergeCell ref="A5:F5"/>
    <mergeCell ref="A6:F6"/>
    <mergeCell ref="A8:F8"/>
    <mergeCell ref="A10:F10"/>
  </mergeCells>
  <printOptions horizontalCentered="1"/>
  <pageMargins left="0.98425196850393704" right="0.39370078740157483" top="0.15748031496062992" bottom="0.15748031496062992" header="0.15748031496062992" footer="0.15748031496062992"/>
  <pageSetup paperSize="9" scale="80" firstPageNumber="0" orientation="portrait" r:id="rId1"/>
  <headerFooter alignWithMargins="0">
    <oddHeader>&amp;C                       TJ/PI – Termo de Referência – Processo nº 0143998/2014-Rev3 – Departamento de Engenharia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SheetLayoutView="100" workbookViewId="0">
      <selection activeCell="A5" sqref="A5:C5"/>
    </sheetView>
  </sheetViews>
  <sheetFormatPr defaultRowHeight="12.75"/>
  <cols>
    <col min="1" max="1" width="85.42578125" style="3" customWidth="1"/>
    <col min="2" max="2" width="10" style="3" customWidth="1"/>
    <col min="3" max="3" width="15.85546875" style="3" customWidth="1"/>
    <col min="4" max="4" width="7.140625" style="3" customWidth="1"/>
    <col min="5" max="5" width="7.7109375" style="3" customWidth="1"/>
    <col min="6" max="16384" width="9.140625" style="3"/>
  </cols>
  <sheetData>
    <row r="1" spans="1:3" s="2" customFormat="1" ht="8.25">
      <c r="A1" s="4"/>
      <c r="B1" s="4"/>
      <c r="C1" s="4"/>
    </row>
    <row r="2" spans="1:3" s="2" customFormat="1" ht="8.25"/>
    <row r="3" spans="1:3" s="2" customFormat="1" ht="18.75">
      <c r="A3" s="161" t="s">
        <v>50</v>
      </c>
      <c r="B3" s="161"/>
      <c r="C3" s="161"/>
    </row>
    <row r="4" spans="1:3" s="2" customFormat="1" ht="8.25">
      <c r="A4" s="4"/>
      <c r="B4" s="4"/>
      <c r="C4" s="4"/>
    </row>
    <row r="5" spans="1:3" ht="15.75">
      <c r="A5" s="174" t="s">
        <v>28</v>
      </c>
      <c r="B5" s="174"/>
      <c r="C5" s="174"/>
    </row>
    <row r="6" spans="1:3">
      <c r="A6" s="160" t="s">
        <v>106</v>
      </c>
      <c r="B6" s="160"/>
      <c r="C6" s="160"/>
    </row>
    <row r="7" spans="1:3" s="2" customFormat="1" ht="8.25"/>
    <row r="8" spans="1:3" s="7" customFormat="1">
      <c r="A8" s="5" t="s">
        <v>2</v>
      </c>
      <c r="B8" s="6"/>
      <c r="C8" s="6"/>
    </row>
    <row r="9" spans="1:3" s="11" customFormat="1">
      <c r="A9" s="17" t="s">
        <v>107</v>
      </c>
      <c r="B9" s="9"/>
      <c r="C9" s="10"/>
    </row>
    <row r="10" spans="1:3" s="2" customFormat="1" ht="8.25">
      <c r="A10" s="13"/>
    </row>
    <row r="11" spans="1:3" s="7" customFormat="1">
      <c r="A11" s="14" t="s">
        <v>3</v>
      </c>
      <c r="B11" s="15"/>
      <c r="C11" s="15"/>
    </row>
    <row r="12" spans="1:3" s="7" customFormat="1">
      <c r="A12" s="14" t="s">
        <v>4</v>
      </c>
      <c r="B12" s="15"/>
      <c r="C12" s="15"/>
    </row>
    <row r="13" spans="1:3">
      <c r="A13" s="8" t="s">
        <v>5</v>
      </c>
      <c r="B13" s="9"/>
      <c r="C13" s="10"/>
    </row>
    <row r="14" spans="1:3" s="7" customFormat="1">
      <c r="A14" s="14" t="s">
        <v>6</v>
      </c>
      <c r="B14" s="15"/>
      <c r="C14" s="16"/>
    </row>
    <row r="15" spans="1:3" s="2" customFormat="1" ht="8.25">
      <c r="A15" s="13"/>
    </row>
    <row r="16" spans="1:3" s="7" customFormat="1">
      <c r="A16" s="14" t="s">
        <v>7</v>
      </c>
      <c r="B16" s="15"/>
      <c r="C16" s="15"/>
    </row>
    <row r="17" spans="1:3" s="7" customFormat="1">
      <c r="A17" s="14" t="s">
        <v>8</v>
      </c>
      <c r="B17" s="15"/>
      <c r="C17" s="15"/>
    </row>
    <row r="18" spans="1:3">
      <c r="A18" s="17" t="s">
        <v>45</v>
      </c>
      <c r="B18" s="18"/>
      <c r="C18" s="10"/>
    </row>
    <row r="19" spans="1:3">
      <c r="A19" s="8" t="s">
        <v>9</v>
      </c>
      <c r="B19" s="18"/>
      <c r="C19" s="10"/>
    </row>
    <row r="20" spans="1:3">
      <c r="A20" s="17" t="s">
        <v>34</v>
      </c>
      <c r="B20" s="18"/>
      <c r="C20" s="10"/>
    </row>
    <row r="21" spans="1:3">
      <c r="A21" s="17" t="s">
        <v>35</v>
      </c>
      <c r="B21" s="18"/>
      <c r="C21" s="10"/>
    </row>
    <row r="22" spans="1:3">
      <c r="A22" s="17" t="s">
        <v>36</v>
      </c>
      <c r="B22" s="18"/>
      <c r="C22" s="10"/>
    </row>
    <row r="23" spans="1:3">
      <c r="A23" s="17" t="s">
        <v>37</v>
      </c>
      <c r="B23" s="18"/>
      <c r="C23" s="10"/>
    </row>
    <row r="24" spans="1:3">
      <c r="A24" s="17" t="s">
        <v>39</v>
      </c>
      <c r="B24" s="18"/>
      <c r="C24" s="10"/>
    </row>
    <row r="25" spans="1:3">
      <c r="A25" s="8" t="s">
        <v>10</v>
      </c>
      <c r="B25" s="18"/>
      <c r="C25" s="10"/>
    </row>
    <row r="26" spans="1:3" ht="25.5">
      <c r="A26" s="8" t="s">
        <v>11</v>
      </c>
      <c r="B26" s="18"/>
      <c r="C26" s="10"/>
    </row>
    <row r="27" spans="1:3" s="7" customFormat="1">
      <c r="A27" s="14" t="s">
        <v>12</v>
      </c>
      <c r="B27" s="19"/>
      <c r="C27" s="16"/>
    </row>
    <row r="28" spans="1:3" s="2" customFormat="1" ht="8.25">
      <c r="A28" s="13"/>
    </row>
    <row r="29" spans="1:3" s="7" customFormat="1">
      <c r="A29" s="14" t="s">
        <v>13</v>
      </c>
      <c r="B29" s="15"/>
      <c r="C29" s="15"/>
    </row>
    <row r="30" spans="1:3">
      <c r="A30" s="17" t="s">
        <v>32</v>
      </c>
      <c r="B30" s="18"/>
      <c r="C30" s="10"/>
    </row>
    <row r="31" spans="1:3">
      <c r="A31" s="17" t="s">
        <v>33</v>
      </c>
      <c r="B31" s="18"/>
      <c r="C31" s="10"/>
    </row>
    <row r="32" spans="1:3">
      <c r="A32" s="17" t="s">
        <v>54</v>
      </c>
      <c r="B32" s="18"/>
      <c r="C32" s="10"/>
    </row>
    <row r="33" spans="1:3">
      <c r="A33" s="17" t="s">
        <v>95</v>
      </c>
      <c r="B33" s="18"/>
      <c r="C33" s="10"/>
    </row>
    <row r="34" spans="1:3">
      <c r="A34" s="17" t="s">
        <v>96</v>
      </c>
      <c r="B34" s="18"/>
      <c r="C34" s="10"/>
    </row>
    <row r="35" spans="1:3">
      <c r="A35" s="17" t="s">
        <v>57</v>
      </c>
      <c r="B35" s="18"/>
      <c r="C35" s="10"/>
    </row>
    <row r="36" spans="1:3">
      <c r="A36" s="17" t="s">
        <v>58</v>
      </c>
      <c r="B36" s="18"/>
      <c r="C36" s="10"/>
    </row>
    <row r="37" spans="1:3">
      <c r="A37" s="17" t="s">
        <v>97</v>
      </c>
      <c r="B37" s="18"/>
      <c r="C37" s="10"/>
    </row>
    <row r="38" spans="1:3">
      <c r="A38" s="17" t="s">
        <v>60</v>
      </c>
      <c r="B38" s="18"/>
      <c r="C38" s="10"/>
    </row>
    <row r="39" spans="1:3">
      <c r="A39" s="17" t="s">
        <v>38</v>
      </c>
      <c r="B39" s="18"/>
      <c r="C39" s="10"/>
    </row>
    <row r="40" spans="1:3" s="7" customFormat="1">
      <c r="A40" s="14" t="s">
        <v>14</v>
      </c>
      <c r="B40" s="19"/>
      <c r="C40" s="16"/>
    </row>
    <row r="41" spans="1:3" s="2" customFormat="1" ht="8.25">
      <c r="A41" s="13"/>
    </row>
    <row r="42" spans="1:3" s="7" customFormat="1" ht="12.75" customHeight="1">
      <c r="A42" s="14" t="s">
        <v>15</v>
      </c>
      <c r="B42" s="15"/>
      <c r="C42" s="15"/>
    </row>
    <row r="43" spans="1:3">
      <c r="A43" s="17" t="s">
        <v>61</v>
      </c>
      <c r="B43" s="18"/>
      <c r="C43" s="10"/>
    </row>
    <row r="44" spans="1:3">
      <c r="A44" s="17" t="s">
        <v>62</v>
      </c>
      <c r="B44" s="18"/>
      <c r="C44" s="10"/>
    </row>
    <row r="45" spans="1:3">
      <c r="A45" s="17" t="s">
        <v>63</v>
      </c>
      <c r="B45" s="18"/>
      <c r="C45" s="10"/>
    </row>
    <row r="46" spans="1:3">
      <c r="A46" s="17" t="s">
        <v>64</v>
      </c>
      <c r="B46" s="18"/>
      <c r="C46" s="10"/>
    </row>
    <row r="47" spans="1:3">
      <c r="A47" s="17" t="s">
        <v>98</v>
      </c>
      <c r="B47" s="18"/>
      <c r="C47" s="10"/>
    </row>
    <row r="48" spans="1:3" s="7" customFormat="1">
      <c r="A48" s="14" t="s">
        <v>44</v>
      </c>
      <c r="B48" s="19"/>
      <c r="C48" s="16"/>
    </row>
    <row r="49" spans="1:4" s="2" customFormat="1" ht="8.25">
      <c r="A49" s="13"/>
    </row>
    <row r="50" spans="1:4" s="7" customFormat="1">
      <c r="A50" s="14" t="s">
        <v>40</v>
      </c>
      <c r="B50" s="19"/>
      <c r="C50" s="16"/>
    </row>
    <row r="51" spans="1:4" s="7" customFormat="1">
      <c r="A51" s="17" t="s">
        <v>41</v>
      </c>
      <c r="B51" s="19"/>
      <c r="C51" s="16"/>
    </row>
    <row r="52" spans="1:4" s="7" customFormat="1" ht="25.5">
      <c r="A52" s="17" t="s">
        <v>42</v>
      </c>
      <c r="B52" s="19"/>
      <c r="C52" s="16"/>
    </row>
    <row r="53" spans="1:4" s="7" customFormat="1">
      <c r="A53" s="14" t="s">
        <v>43</v>
      </c>
      <c r="B53" s="19"/>
      <c r="C53" s="16"/>
    </row>
    <row r="54" spans="1:4" s="7" customFormat="1">
      <c r="A54" s="14" t="s">
        <v>16</v>
      </c>
      <c r="B54" s="19"/>
      <c r="C54" s="16"/>
    </row>
    <row r="55" spans="1:4" s="2" customFormat="1" ht="8.25">
      <c r="A55" s="13"/>
    </row>
    <row r="56" spans="1:4" s="7" customFormat="1">
      <c r="A56" s="14" t="s">
        <v>17</v>
      </c>
      <c r="B56" s="15"/>
      <c r="C56" s="15"/>
    </row>
    <row r="57" spans="1:4">
      <c r="A57" s="17" t="s">
        <v>128</v>
      </c>
      <c r="B57" s="18"/>
      <c r="C57" s="10"/>
    </row>
    <row r="58" spans="1:4">
      <c r="A58" s="17" t="s">
        <v>162</v>
      </c>
      <c r="B58" s="9"/>
      <c r="C58" s="10"/>
    </row>
    <row r="59" spans="1:4">
      <c r="A59" s="17" t="s">
        <v>129</v>
      </c>
      <c r="B59" s="18"/>
      <c r="C59" s="10"/>
    </row>
    <row r="60" spans="1:4">
      <c r="A60" s="17" t="s">
        <v>109</v>
      </c>
      <c r="B60" s="9"/>
      <c r="C60" s="10"/>
    </row>
    <row r="61" spans="1:4">
      <c r="A61" s="17" t="s">
        <v>130</v>
      </c>
      <c r="B61" s="9"/>
      <c r="C61" s="10"/>
      <c r="D61" s="38"/>
    </row>
    <row r="62" spans="1:4">
      <c r="A62" s="17" t="s">
        <v>131</v>
      </c>
      <c r="B62" s="18"/>
      <c r="C62" s="10"/>
    </row>
    <row r="63" spans="1:4">
      <c r="A63" s="17" t="s">
        <v>110</v>
      </c>
      <c r="B63" s="18"/>
      <c r="C63" s="10"/>
    </row>
    <row r="64" spans="1:4">
      <c r="A64" s="17" t="s">
        <v>111</v>
      </c>
      <c r="B64" s="18"/>
      <c r="C64" s="10"/>
    </row>
    <row r="65" spans="1:3">
      <c r="A65" s="14" t="s">
        <v>18</v>
      </c>
      <c r="B65" s="18"/>
      <c r="C65" s="16"/>
    </row>
    <row r="66" spans="1:3" s="2" customFormat="1" ht="8.25">
      <c r="A66" s="13"/>
    </row>
    <row r="67" spans="1:3" s="7" customFormat="1">
      <c r="A67" s="14" t="s">
        <v>19</v>
      </c>
      <c r="B67" s="15"/>
      <c r="C67" s="16"/>
    </row>
    <row r="68" spans="1:3" s="2" customFormat="1" ht="8.25">
      <c r="A68" s="13"/>
    </row>
    <row r="69" spans="1:3" s="7" customFormat="1">
      <c r="A69" s="14" t="s">
        <v>20</v>
      </c>
      <c r="B69" s="15"/>
      <c r="C69" s="15"/>
    </row>
    <row r="70" spans="1:3">
      <c r="A70" s="17" t="s">
        <v>48</v>
      </c>
      <c r="B70" s="18"/>
      <c r="C70" s="10"/>
    </row>
    <row r="71" spans="1:3">
      <c r="A71" s="17" t="s">
        <v>49</v>
      </c>
      <c r="B71" s="18"/>
      <c r="C71" s="10"/>
    </row>
    <row r="72" spans="1:3">
      <c r="A72" s="14" t="s">
        <v>21</v>
      </c>
      <c r="B72" s="19"/>
      <c r="C72" s="16"/>
    </row>
    <row r="73" spans="1:3" s="2" customFormat="1" ht="8.25">
      <c r="A73" s="13"/>
    </row>
    <row r="74" spans="1:3" s="7" customFormat="1">
      <c r="A74" s="14" t="s">
        <v>22</v>
      </c>
      <c r="B74" s="15"/>
      <c r="C74" s="15"/>
    </row>
    <row r="75" spans="1:3">
      <c r="A75" s="8" t="s">
        <v>23</v>
      </c>
      <c r="B75" s="18"/>
      <c r="C75" s="10"/>
    </row>
    <row r="76" spans="1:3">
      <c r="A76" s="8" t="s">
        <v>24</v>
      </c>
      <c r="B76" s="18"/>
      <c r="C76" s="10"/>
    </row>
    <row r="77" spans="1:3">
      <c r="A77" s="8" t="s">
        <v>25</v>
      </c>
      <c r="B77" s="18"/>
      <c r="C77" s="10"/>
    </row>
    <row r="78" spans="1:3">
      <c r="A78" s="17" t="s">
        <v>53</v>
      </c>
      <c r="B78" s="18"/>
      <c r="C78" s="10"/>
    </row>
    <row r="79" spans="1:3" s="7" customFormat="1">
      <c r="A79" s="14" t="s">
        <v>26</v>
      </c>
      <c r="B79" s="19"/>
      <c r="C79" s="16"/>
    </row>
    <row r="80" spans="1:3" s="2" customFormat="1" ht="8.25">
      <c r="A80" s="13"/>
    </row>
    <row r="81" spans="1:3" s="7" customFormat="1">
      <c r="A81" s="14" t="s">
        <v>104</v>
      </c>
      <c r="B81" s="15"/>
      <c r="C81" s="16"/>
    </row>
    <row r="82" spans="1:3" s="2" customFormat="1" ht="8.25"/>
    <row r="83" spans="1:3" s="7" customFormat="1">
      <c r="A83" s="14" t="s">
        <v>105</v>
      </c>
      <c r="B83" s="15"/>
      <c r="C83" s="16"/>
    </row>
    <row r="84" spans="1:3" s="2" customFormat="1" ht="8.25"/>
    <row r="85" spans="1:3" s="2" customFormat="1" ht="8.25">
      <c r="A85" s="175" t="s">
        <v>29</v>
      </c>
      <c r="B85" s="175"/>
      <c r="C85" s="175"/>
    </row>
    <row r="86" spans="1:3" ht="15">
      <c r="A86" s="173" t="s">
        <v>30</v>
      </c>
      <c r="B86" s="173"/>
      <c r="C86" s="173"/>
    </row>
    <row r="87" spans="1:3" s="2" customFormat="1" ht="8.25">
      <c r="A87" s="176" t="s">
        <v>29</v>
      </c>
      <c r="B87" s="176"/>
      <c r="C87" s="176"/>
    </row>
    <row r="88" spans="1:3" ht="15">
      <c r="A88" s="173" t="s">
        <v>31</v>
      </c>
      <c r="B88" s="173"/>
      <c r="C88" s="173"/>
    </row>
  </sheetData>
  <sheetProtection selectLockedCells="1" selectUnlockedCells="1"/>
  <mergeCells count="7">
    <mergeCell ref="A3:C3"/>
    <mergeCell ref="A88:C88"/>
    <mergeCell ref="A5:C5"/>
    <mergeCell ref="A6:C6"/>
    <mergeCell ref="A85:C85"/>
    <mergeCell ref="A86:C86"/>
    <mergeCell ref="A87:C87"/>
  </mergeCells>
  <phoneticPr fontId="0" type="noConversion"/>
  <printOptions horizontalCentered="1"/>
  <pageMargins left="0.98425196850393704" right="0.39370078740157483" top="0.15748031496062992" bottom="0.11811023622047245" header="0.15748031496062992" footer="0.51181102362204722"/>
  <pageSetup paperSize="9" scale="75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Normal="90" zoomScaleSheetLayoutView="100" workbookViewId="0">
      <selection activeCell="I27" sqref="I27"/>
    </sheetView>
  </sheetViews>
  <sheetFormatPr defaultRowHeight="12.75"/>
  <cols>
    <col min="1" max="1" width="12.42578125" customWidth="1"/>
    <col min="2" max="2" width="42.28515625" customWidth="1"/>
    <col min="3" max="5" width="10.7109375" customWidth="1"/>
    <col min="6" max="6" width="14.28515625" customWidth="1"/>
  </cols>
  <sheetData>
    <row r="1" spans="1:7" s="1" customFormat="1">
      <c r="A1" s="65"/>
      <c r="B1" s="65"/>
    </row>
    <row r="2" spans="1:7" s="1" customFormat="1" ht="18.75" customHeight="1">
      <c r="A2" s="162" t="s">
        <v>166</v>
      </c>
      <c r="B2" s="162"/>
      <c r="C2" s="162"/>
      <c r="D2" s="162"/>
      <c r="E2" s="162"/>
      <c r="F2" s="162"/>
    </row>
    <row r="3" spans="1:7" s="1" customFormat="1">
      <c r="A3" s="170" t="s">
        <v>159</v>
      </c>
      <c r="B3" s="170"/>
      <c r="C3" s="170"/>
      <c r="D3" s="170"/>
      <c r="E3" s="170"/>
      <c r="F3" s="170"/>
    </row>
    <row r="4" spans="1:7" s="1" customFormat="1" ht="15" customHeight="1">
      <c r="A4" s="45"/>
      <c r="B4" s="45"/>
    </row>
    <row r="5" spans="1:7" ht="21.75" customHeight="1">
      <c r="A5" s="174" t="s">
        <v>28</v>
      </c>
      <c r="B5" s="174"/>
      <c r="C5" s="174"/>
      <c r="D5" s="174"/>
      <c r="E5" s="174"/>
      <c r="F5" s="174"/>
    </row>
    <row r="6" spans="1:7" ht="15" customHeight="1">
      <c r="A6" s="177"/>
      <c r="B6" s="177"/>
      <c r="C6" s="177"/>
      <c r="D6" s="177"/>
      <c r="E6" s="177"/>
      <c r="F6" s="177"/>
    </row>
    <row r="7" spans="1:7" ht="11.25" customHeight="1">
      <c r="A7" s="66"/>
      <c r="B7" s="66"/>
      <c r="C7" s="66"/>
      <c r="D7" s="66"/>
      <c r="E7" s="66"/>
      <c r="F7" s="66"/>
    </row>
    <row r="8" spans="1:7" ht="9.75" customHeight="1">
      <c r="A8" s="68"/>
      <c r="B8" s="68"/>
      <c r="C8" s="68"/>
      <c r="D8" s="68"/>
      <c r="E8" s="68"/>
      <c r="F8" s="68"/>
    </row>
    <row r="9" spans="1:7" s="1" customFormat="1" ht="25.5" customHeight="1">
      <c r="A9" s="172" t="s">
        <v>134</v>
      </c>
      <c r="B9" s="172"/>
      <c r="C9" s="172"/>
      <c r="D9" s="172"/>
      <c r="E9" s="172"/>
      <c r="F9" s="172"/>
    </row>
    <row r="10" spans="1:7" s="50" customFormat="1" ht="6" customHeight="1">
      <c r="A10" s="47"/>
      <c r="B10" s="47"/>
      <c r="C10" s="48"/>
      <c r="D10" s="48"/>
      <c r="E10" s="48"/>
      <c r="F10" s="47"/>
      <c r="G10" s="49"/>
    </row>
    <row r="11" spans="1:7" s="1" customFormat="1" ht="25.5" customHeight="1">
      <c r="A11" s="31"/>
      <c r="B11" s="57" t="s">
        <v>135</v>
      </c>
      <c r="C11" s="58" t="s">
        <v>167</v>
      </c>
      <c r="D11" s="31"/>
      <c r="E11" s="31"/>
      <c r="F11" s="31"/>
    </row>
    <row r="12" spans="1:7" s="1" customFormat="1" ht="12">
      <c r="A12" s="31"/>
      <c r="B12" s="52" t="s">
        <v>139</v>
      </c>
      <c r="C12" s="53"/>
      <c r="D12" s="31"/>
      <c r="E12" s="31"/>
      <c r="F12" s="31"/>
    </row>
    <row r="13" spans="1:7" s="1" customFormat="1" ht="12">
      <c r="A13" s="31"/>
      <c r="B13" s="52" t="s">
        <v>140</v>
      </c>
      <c r="C13" s="53"/>
      <c r="D13" s="31"/>
      <c r="E13" s="31"/>
      <c r="F13" s="31"/>
    </row>
    <row r="14" spans="1:7" s="1" customFormat="1" ht="12">
      <c r="A14" s="31"/>
      <c r="B14" s="52" t="s">
        <v>141</v>
      </c>
      <c r="C14" s="53"/>
      <c r="D14" s="31"/>
      <c r="E14" s="31"/>
      <c r="F14" s="31"/>
    </row>
    <row r="15" spans="1:7" s="1" customFormat="1" ht="12">
      <c r="A15" s="31"/>
      <c r="B15" s="52" t="s">
        <v>142</v>
      </c>
      <c r="C15" s="53"/>
      <c r="D15" s="31"/>
      <c r="E15" s="31"/>
      <c r="F15" s="31"/>
    </row>
    <row r="16" spans="1:7" s="1" customFormat="1" ht="12">
      <c r="A16" s="31"/>
      <c r="B16" s="54" t="s">
        <v>143</v>
      </c>
      <c r="C16" s="53"/>
      <c r="D16" s="31"/>
      <c r="E16" s="31"/>
      <c r="F16" s="31"/>
    </row>
    <row r="17" spans="1:7" s="1" customFormat="1" ht="12">
      <c r="A17" s="31"/>
      <c r="B17" s="52" t="s">
        <v>144</v>
      </c>
      <c r="C17" s="53"/>
      <c r="D17" s="31"/>
      <c r="E17" s="31"/>
      <c r="F17" s="31"/>
    </row>
    <row r="18" spans="1:7" s="1" customFormat="1" ht="12">
      <c r="A18" s="31"/>
      <c r="B18" s="52" t="s">
        <v>145</v>
      </c>
      <c r="C18" s="53"/>
      <c r="D18" s="31"/>
      <c r="E18" s="31"/>
      <c r="F18" s="31"/>
    </row>
    <row r="19" spans="1:7" s="1" customFormat="1" ht="12">
      <c r="A19" s="31"/>
      <c r="B19" s="52" t="s">
        <v>146</v>
      </c>
      <c r="C19" s="53"/>
      <c r="D19" s="31"/>
      <c r="E19" s="31"/>
      <c r="F19" s="31"/>
    </row>
    <row r="20" spans="1:7" s="1" customFormat="1" ht="12">
      <c r="A20" s="31"/>
      <c r="B20" s="52" t="s">
        <v>147</v>
      </c>
      <c r="C20" s="53"/>
      <c r="D20" s="31"/>
      <c r="E20" s="31"/>
      <c r="F20" s="31"/>
    </row>
    <row r="21" spans="1:7" s="1" customFormat="1" ht="12">
      <c r="A21" s="31"/>
      <c r="B21" s="52" t="s">
        <v>148</v>
      </c>
      <c r="C21" s="53"/>
      <c r="D21" s="31"/>
      <c r="E21" s="31"/>
      <c r="F21" s="31"/>
    </row>
    <row r="22" spans="1:7" s="50" customFormat="1" ht="14.1" customHeight="1">
      <c r="A22" s="47"/>
      <c r="B22" s="55" t="s">
        <v>149</v>
      </c>
      <c r="C22" s="56">
        <f>ROUND((((((1+C12+C13+C14)*(1+C15)*(1+C16))/(1-(C18+C19+C20+C21)))-1))*100,2)</f>
        <v>0</v>
      </c>
      <c r="D22" s="47"/>
      <c r="E22" s="47"/>
      <c r="F22" s="47"/>
      <c r="G22" s="49"/>
    </row>
    <row r="23" spans="1:7" s="50" customFormat="1" ht="14.1" customHeight="1">
      <c r="A23" s="47"/>
      <c r="B23" s="51"/>
      <c r="C23" s="48"/>
      <c r="D23" s="48"/>
      <c r="E23" s="48"/>
      <c r="F23" s="47"/>
      <c r="G23" s="49"/>
    </row>
    <row r="24" spans="1:7" s="50" customFormat="1" ht="14.1" customHeight="1">
      <c r="A24" s="47"/>
      <c r="B24" s="51"/>
      <c r="C24" s="48"/>
      <c r="D24" s="48"/>
      <c r="E24" s="48"/>
      <c r="F24" s="47"/>
      <c r="G24" s="49"/>
    </row>
    <row r="25" spans="1:7" s="50" customFormat="1" ht="14.1" customHeight="1">
      <c r="A25" s="47"/>
      <c r="B25" s="51"/>
      <c r="C25" s="48"/>
      <c r="D25" s="48"/>
      <c r="E25" s="48"/>
      <c r="F25" s="47"/>
      <c r="G25" s="49"/>
    </row>
    <row r="26" spans="1:7" s="50" customFormat="1" ht="14.1" customHeight="1">
      <c r="A26" s="47"/>
      <c r="B26" s="51"/>
      <c r="C26" s="48"/>
      <c r="D26" s="48"/>
      <c r="E26" s="48"/>
      <c r="F26" s="47"/>
      <c r="G26" s="49"/>
    </row>
    <row r="27" spans="1:7" s="50" customFormat="1" ht="14.1" customHeight="1">
      <c r="A27" s="47"/>
      <c r="B27" s="51"/>
      <c r="C27" s="48"/>
      <c r="D27" s="48"/>
      <c r="E27" s="48"/>
      <c r="F27" s="47"/>
      <c r="G27" s="49"/>
    </row>
    <row r="28" spans="1:7" s="31" customFormat="1" ht="13.5" customHeight="1">
      <c r="A28" s="168" t="s">
        <v>51</v>
      </c>
      <c r="B28" s="168"/>
      <c r="C28" s="168"/>
      <c r="D28" s="168"/>
      <c r="E28" s="168"/>
      <c r="F28" s="168"/>
    </row>
    <row r="29" spans="1:7" s="31" customFormat="1" ht="7.5" customHeight="1">
      <c r="A29" s="67"/>
      <c r="B29" s="67"/>
      <c r="C29" s="67"/>
      <c r="D29" s="67"/>
      <c r="E29" s="67"/>
      <c r="F29" s="67"/>
    </row>
    <row r="30" spans="1:7" s="31" customFormat="1" ht="78.75" customHeight="1">
      <c r="A30" s="171"/>
      <c r="B30" s="171"/>
      <c r="C30" s="171"/>
      <c r="D30" s="171"/>
      <c r="E30" s="171"/>
      <c r="F30" s="171"/>
    </row>
    <row r="31" spans="1:7" s="31" customFormat="1" ht="15" customHeight="1">
      <c r="A31" s="163"/>
      <c r="B31" s="163"/>
      <c r="C31" s="163"/>
      <c r="D31" s="163"/>
      <c r="E31" s="163"/>
      <c r="F31" s="163"/>
    </row>
    <row r="32" spans="1:7" ht="15" customHeight="1">
      <c r="A32" s="163"/>
      <c r="B32" s="163"/>
      <c r="C32" s="163"/>
      <c r="D32" s="163"/>
      <c r="E32" s="163"/>
      <c r="F32" s="163"/>
    </row>
    <row r="33" spans="1:6" ht="15" customHeight="1">
      <c r="A33" s="163"/>
      <c r="B33" s="163"/>
      <c r="C33" s="163"/>
      <c r="D33" s="163"/>
      <c r="E33" s="163"/>
      <c r="F33" s="163"/>
    </row>
    <row r="34" spans="1:6" ht="40.5" customHeight="1"/>
    <row r="35" spans="1:6" ht="30.75" customHeight="1"/>
    <row r="37" spans="1:6" ht="38.25" customHeight="1"/>
  </sheetData>
  <sheetProtection selectLockedCells="1" selectUnlockedCells="1"/>
  <mergeCells count="10">
    <mergeCell ref="A2:F2"/>
    <mergeCell ref="A3:F3"/>
    <mergeCell ref="A5:F5"/>
    <mergeCell ref="A6:F6"/>
    <mergeCell ref="A9:F9"/>
    <mergeCell ref="A33:F33"/>
    <mergeCell ref="A28:F28"/>
    <mergeCell ref="A30:F30"/>
    <mergeCell ref="A31:F31"/>
    <mergeCell ref="A32:F32"/>
  </mergeCells>
  <printOptions horizontalCentered="1"/>
  <pageMargins left="0.98425196850393704" right="0.39370078740157483" top="0.15748031496062992" bottom="0.15748031496062992" header="0.15748031496062992" footer="0.15748031496062992"/>
  <pageSetup paperSize="9" scale="80" firstPageNumber="0" orientation="portrait" r:id="rId1"/>
  <headerFooter alignWithMargins="0">
    <oddHeader>&amp;C                       TJ/PI – Termo de Referência – Processo nº 0143998/2014-Rev3 – Departamento de Engenharia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2" zoomScaleSheetLayoutView="100" workbookViewId="0">
      <selection activeCell="E80" sqref="E80"/>
    </sheetView>
  </sheetViews>
  <sheetFormatPr defaultRowHeight="12.75"/>
  <cols>
    <col min="1" max="1" width="85.42578125" style="3" customWidth="1"/>
    <col min="2" max="2" width="10" style="3" customWidth="1"/>
    <col min="3" max="3" width="12.5703125" style="3" bestFit="1" customWidth="1"/>
    <col min="4" max="4" width="9.140625" style="3"/>
    <col min="5" max="5" width="10.7109375" style="3" customWidth="1"/>
    <col min="6" max="6" width="7.7109375" style="3" customWidth="1"/>
    <col min="7" max="16384" width="9.140625" style="3"/>
  </cols>
  <sheetData>
    <row r="1" spans="1:6" s="2" customFormat="1">
      <c r="A1" s="59"/>
      <c r="B1" s="59"/>
      <c r="C1" s="59"/>
      <c r="E1" s="3"/>
      <c r="F1" s="3"/>
    </row>
    <row r="2" spans="1:6" s="2" customFormat="1" ht="18.75">
      <c r="A2" s="161" t="s">
        <v>46</v>
      </c>
      <c r="B2" s="161"/>
      <c r="C2" s="161"/>
      <c r="E2" s="3"/>
      <c r="F2" s="3"/>
    </row>
    <row r="3" spans="1:6" s="2" customFormat="1" ht="18.75">
      <c r="A3" s="161" t="s">
        <v>0</v>
      </c>
      <c r="B3" s="161"/>
      <c r="C3" s="161"/>
      <c r="E3" s="3"/>
      <c r="F3" s="3"/>
    </row>
    <row r="4" spans="1:6" s="2" customFormat="1" ht="8.25">
      <c r="A4" s="4"/>
      <c r="B4" s="4"/>
      <c r="C4" s="4"/>
    </row>
    <row r="5" spans="1:6">
      <c r="A5" s="160" t="s">
        <v>52</v>
      </c>
      <c r="B5" s="160"/>
      <c r="C5" s="160"/>
    </row>
    <row r="6" spans="1:6">
      <c r="A6" s="160" t="s">
        <v>168</v>
      </c>
      <c r="B6" s="160"/>
      <c r="C6" s="160"/>
    </row>
    <row r="7" spans="1:6" s="2" customFormat="1" ht="8.25"/>
    <row r="8" spans="1:6" s="7" customFormat="1">
      <c r="A8" s="5" t="s">
        <v>2</v>
      </c>
      <c r="B8" s="6"/>
      <c r="C8" s="6"/>
    </row>
    <row r="9" spans="1:6" s="11" customFormat="1">
      <c r="A9" s="17" t="s">
        <v>169</v>
      </c>
      <c r="B9" s="9"/>
      <c r="C9" s="10">
        <v>2668.97</v>
      </c>
      <c r="E9" s="12"/>
    </row>
    <row r="10" spans="1:6" s="2" customFormat="1" ht="8.25">
      <c r="A10" s="13"/>
    </row>
    <row r="11" spans="1:6" s="7" customFormat="1">
      <c r="A11" s="14" t="s">
        <v>3</v>
      </c>
      <c r="B11" s="15"/>
      <c r="C11" s="15"/>
    </row>
    <row r="12" spans="1:6" s="7" customFormat="1">
      <c r="A12" s="14" t="s">
        <v>4</v>
      </c>
      <c r="B12" s="15"/>
      <c r="C12" s="15"/>
    </row>
    <row r="13" spans="1:6">
      <c r="A13" s="8" t="s">
        <v>5</v>
      </c>
      <c r="B13" s="9"/>
      <c r="C13" s="10">
        <f>C9</f>
        <v>2668.97</v>
      </c>
    </row>
    <row r="14" spans="1:6" s="7" customFormat="1">
      <c r="A14" s="14" t="s">
        <v>6</v>
      </c>
      <c r="B14" s="15"/>
      <c r="C14" s="16">
        <f>C13</f>
        <v>2668.97</v>
      </c>
    </row>
    <row r="15" spans="1:6" s="2" customFormat="1" ht="8.25">
      <c r="A15" s="13"/>
    </row>
    <row r="16" spans="1:6" s="7" customFormat="1">
      <c r="A16" s="14" t="s">
        <v>7</v>
      </c>
      <c r="B16" s="15"/>
      <c r="C16" s="15"/>
    </row>
    <row r="17" spans="1:5" s="7" customFormat="1">
      <c r="A17" s="14" t="s">
        <v>8</v>
      </c>
      <c r="B17" s="15"/>
      <c r="C17" s="15"/>
    </row>
    <row r="18" spans="1:5">
      <c r="A18" s="17" t="s">
        <v>45</v>
      </c>
      <c r="B18" s="18">
        <v>0.2</v>
      </c>
      <c r="C18" s="10">
        <f t="shared" ref="C18:C26" si="0">ROUND($C$14*B18,2)</f>
        <v>533.79</v>
      </c>
    </row>
    <row r="19" spans="1:5">
      <c r="A19" s="8" t="s">
        <v>9</v>
      </c>
      <c r="B19" s="18">
        <v>0.08</v>
      </c>
      <c r="C19" s="10">
        <f t="shared" si="0"/>
        <v>213.52</v>
      </c>
    </row>
    <row r="20" spans="1:5">
      <c r="A20" s="17" t="s">
        <v>34</v>
      </c>
      <c r="B20" s="18">
        <v>1.4999999999999999E-2</v>
      </c>
      <c r="C20" s="10">
        <f t="shared" si="0"/>
        <v>40.03</v>
      </c>
    </row>
    <row r="21" spans="1:5">
      <c r="A21" s="17" t="s">
        <v>35</v>
      </c>
      <c r="B21" s="18">
        <v>0.01</v>
      </c>
      <c r="C21" s="10">
        <f t="shared" si="0"/>
        <v>26.69</v>
      </c>
    </row>
    <row r="22" spans="1:5">
      <c r="A22" s="17" t="s">
        <v>36</v>
      </c>
      <c r="B22" s="18">
        <v>2E-3</v>
      </c>
      <c r="C22" s="10">
        <f t="shared" si="0"/>
        <v>5.34</v>
      </c>
    </row>
    <row r="23" spans="1:5">
      <c r="A23" s="17" t="s">
        <v>37</v>
      </c>
      <c r="B23" s="18">
        <v>6.0000000000000001E-3</v>
      </c>
      <c r="C23" s="10">
        <f t="shared" si="0"/>
        <v>16.010000000000002</v>
      </c>
    </row>
    <row r="24" spans="1:5">
      <c r="A24" s="17" t="s">
        <v>39</v>
      </c>
      <c r="B24" s="18">
        <v>0</v>
      </c>
      <c r="C24" s="10">
        <f>ROUND($C$14*B24,2)</f>
        <v>0</v>
      </c>
    </row>
    <row r="25" spans="1:5">
      <c r="A25" s="8" t="s">
        <v>10</v>
      </c>
      <c r="B25" s="18">
        <v>2.5000000000000001E-2</v>
      </c>
      <c r="C25" s="10">
        <f t="shared" si="0"/>
        <v>66.72</v>
      </c>
    </row>
    <row r="26" spans="1:5" ht="25.5">
      <c r="A26" s="8" t="s">
        <v>11</v>
      </c>
      <c r="B26" s="18">
        <v>0.03</v>
      </c>
      <c r="C26" s="10">
        <f t="shared" si="0"/>
        <v>80.069999999999993</v>
      </c>
    </row>
    <row r="27" spans="1:5" s="7" customFormat="1">
      <c r="A27" s="14" t="s">
        <v>12</v>
      </c>
      <c r="B27" s="19">
        <f>SUM(B18:B26)</f>
        <v>0.3680000000000001</v>
      </c>
      <c r="C27" s="16">
        <f>SUM(C18:C26)</f>
        <v>982.17000000000007</v>
      </c>
    </row>
    <row r="28" spans="1:5" s="2" customFormat="1" ht="8.25">
      <c r="A28" s="13"/>
    </row>
    <row r="29" spans="1:5" s="7" customFormat="1">
      <c r="A29" s="14" t="s">
        <v>13</v>
      </c>
      <c r="B29" s="15"/>
      <c r="C29" s="15"/>
    </row>
    <row r="30" spans="1:5">
      <c r="A30" s="17" t="s">
        <v>32</v>
      </c>
      <c r="B30" s="18">
        <v>0</v>
      </c>
      <c r="C30" s="10">
        <f t="shared" ref="C30:C39" si="1">ROUND($C$14*B30,2)</f>
        <v>0</v>
      </c>
    </row>
    <row r="31" spans="1:5">
      <c r="A31" s="17" t="s">
        <v>33</v>
      </c>
      <c r="B31" s="18">
        <v>0</v>
      </c>
      <c r="C31" s="10">
        <f>ROUND($C$14*B31,2)</f>
        <v>0</v>
      </c>
    </row>
    <row r="32" spans="1:5">
      <c r="A32" s="17" t="s">
        <v>54</v>
      </c>
      <c r="B32" s="18">
        <v>8.3299999999999999E-2</v>
      </c>
      <c r="C32" s="10">
        <f>ROUND($C$14*B32,2)</f>
        <v>222.33</v>
      </c>
      <c r="E32" s="20"/>
    </row>
    <row r="33" spans="1:5">
      <c r="A33" s="17" t="s">
        <v>55</v>
      </c>
      <c r="B33" s="18">
        <v>6.4699999999999994E-2</v>
      </c>
      <c r="C33" s="10">
        <f t="shared" si="1"/>
        <v>172.68</v>
      </c>
      <c r="E33" s="21"/>
    </row>
    <row r="34" spans="1:5">
      <c r="A34" s="17" t="s">
        <v>56</v>
      </c>
      <c r="B34" s="18">
        <v>2.9999999999999997E-4</v>
      </c>
      <c r="C34" s="10">
        <f t="shared" si="1"/>
        <v>0.8</v>
      </c>
    </row>
    <row r="35" spans="1:5">
      <c r="A35" s="17" t="s">
        <v>57</v>
      </c>
      <c r="B35" s="18">
        <v>6.7000000000000002E-3</v>
      </c>
      <c r="C35" s="10">
        <f t="shared" si="1"/>
        <v>17.88</v>
      </c>
    </row>
    <row r="36" spans="1:5">
      <c r="A36" s="17" t="s">
        <v>58</v>
      </c>
      <c r="B36" s="18">
        <v>5.9999999999999995E-4</v>
      </c>
      <c r="C36" s="10">
        <f>ROUND($C$14*B36,2)</f>
        <v>1.6</v>
      </c>
      <c r="E36" s="22"/>
    </row>
    <row r="37" spans="1:5">
      <c r="A37" s="17" t="s">
        <v>59</v>
      </c>
      <c r="B37" s="18">
        <v>8.0000000000000004E-4</v>
      </c>
      <c r="C37" s="10">
        <f t="shared" si="1"/>
        <v>2.14</v>
      </c>
    </row>
    <row r="38" spans="1:5">
      <c r="A38" s="17" t="s">
        <v>60</v>
      </c>
      <c r="B38" s="18">
        <v>5.5999999999999999E-3</v>
      </c>
      <c r="C38" s="10">
        <f>ROUND($C$14*B38,2)</f>
        <v>14.95</v>
      </c>
      <c r="E38" s="21"/>
    </row>
    <row r="39" spans="1:5">
      <c r="A39" s="17" t="s">
        <v>38</v>
      </c>
      <c r="B39" s="18">
        <v>0</v>
      </c>
      <c r="C39" s="10">
        <f t="shared" si="1"/>
        <v>0</v>
      </c>
    </row>
    <row r="40" spans="1:5" s="7" customFormat="1">
      <c r="A40" s="14" t="s">
        <v>14</v>
      </c>
      <c r="B40" s="19">
        <f>SUM(B30:B39)</f>
        <v>0.16199999999999998</v>
      </c>
      <c r="C40" s="16">
        <f>SUM(C30:C39)</f>
        <v>432.38</v>
      </c>
    </row>
    <row r="41" spans="1:5" s="2" customFormat="1" ht="8.25">
      <c r="A41" s="13"/>
    </row>
    <row r="42" spans="1:5" s="7" customFormat="1" ht="12.75" customHeight="1">
      <c r="A42" s="14" t="s">
        <v>15</v>
      </c>
      <c r="B42" s="15"/>
      <c r="C42" s="15"/>
    </row>
    <row r="43" spans="1:5">
      <c r="A43" s="17" t="s">
        <v>61</v>
      </c>
      <c r="B43" s="18">
        <v>8.9999999999999998E-4</v>
      </c>
      <c r="C43" s="10">
        <f>ROUND($C$14*B43,2)</f>
        <v>2.4</v>
      </c>
      <c r="E43" s="40"/>
    </row>
    <row r="44" spans="1:5">
      <c r="A44" s="17" t="s">
        <v>62</v>
      </c>
      <c r="B44" s="18">
        <v>4.0300000000000002E-2</v>
      </c>
      <c r="C44" s="10">
        <f>ROUND($C$14*B44,2)</f>
        <v>107.56</v>
      </c>
    </row>
    <row r="45" spans="1:5">
      <c r="A45" s="17" t="s">
        <v>63</v>
      </c>
      <c r="B45" s="18">
        <v>4.07E-2</v>
      </c>
      <c r="C45" s="10">
        <f>ROUND($C$14*B45,2)</f>
        <v>108.63</v>
      </c>
    </row>
    <row r="46" spans="1:5">
      <c r="A46" s="17" t="s">
        <v>64</v>
      </c>
      <c r="B46" s="18">
        <v>3.0200000000000001E-2</v>
      </c>
      <c r="C46" s="10">
        <f>ROUND($C$14*B46,2)</f>
        <v>80.599999999999994</v>
      </c>
    </row>
    <row r="47" spans="1:5">
      <c r="A47" s="17" t="s">
        <v>65</v>
      </c>
      <c r="B47" s="18">
        <v>3.3999999999999998E-3</v>
      </c>
      <c r="C47" s="10">
        <f>ROUND($C$14*B47,2)</f>
        <v>9.07</v>
      </c>
    </row>
    <row r="48" spans="1:5" s="7" customFormat="1">
      <c r="A48" s="14" t="s">
        <v>44</v>
      </c>
      <c r="B48" s="19">
        <f>SUM(B43:B47)</f>
        <v>0.11550000000000001</v>
      </c>
      <c r="C48" s="16">
        <f>SUM(C43:C47)</f>
        <v>308.26</v>
      </c>
    </row>
    <row r="49" spans="1:6" s="2" customFormat="1" ht="8.25">
      <c r="A49" s="13"/>
    </row>
    <row r="50" spans="1:6" s="7" customFormat="1">
      <c r="A50" s="14" t="s">
        <v>40</v>
      </c>
      <c r="B50" s="19"/>
      <c r="C50" s="16"/>
    </row>
    <row r="51" spans="1:6">
      <c r="A51" s="17" t="s">
        <v>41</v>
      </c>
      <c r="B51" s="18">
        <v>5.96E-2</v>
      </c>
      <c r="C51" s="10">
        <f>ROUND($C$14*B51,2)</f>
        <v>159.07</v>
      </c>
    </row>
    <row r="52" spans="1:6" ht="25.5">
      <c r="A52" s="17" t="s">
        <v>47</v>
      </c>
      <c r="B52" s="18">
        <v>3.5999999999999999E-3</v>
      </c>
      <c r="C52" s="10">
        <f>ROUND($C$14*B52,2)</f>
        <v>9.61</v>
      </c>
    </row>
    <row r="53" spans="1:6" s="7" customFormat="1">
      <c r="A53" s="14" t="s">
        <v>43</v>
      </c>
      <c r="B53" s="19">
        <f>SUM(B51:B52)</f>
        <v>6.3200000000000006E-2</v>
      </c>
      <c r="C53" s="16">
        <f>SUM(C51:C52)</f>
        <v>168.68</v>
      </c>
    </row>
    <row r="54" spans="1:6" s="7" customFormat="1">
      <c r="A54" s="14" t="s">
        <v>16</v>
      </c>
      <c r="B54" s="19">
        <f>B27+B40+B48+B53</f>
        <v>0.70870000000000011</v>
      </c>
      <c r="C54" s="16">
        <f>C27+C40+C48+C53</f>
        <v>1891.4900000000002</v>
      </c>
    </row>
    <row r="55" spans="1:6" s="2" customFormat="1" ht="8.25">
      <c r="A55" s="13"/>
    </row>
    <row r="56" spans="1:6" s="7" customFormat="1">
      <c r="A56" s="14" t="s">
        <v>17</v>
      </c>
      <c r="B56" s="15"/>
      <c r="C56" s="15"/>
    </row>
    <row r="57" spans="1:6">
      <c r="A57" s="17" t="s">
        <v>176</v>
      </c>
      <c r="B57" s="18">
        <f>ROUND(C57/$C$14,4)</f>
        <v>0.16189999999999999</v>
      </c>
      <c r="C57" s="10">
        <v>432.19</v>
      </c>
      <c r="D57" s="109">
        <f>C57/E57</f>
        <v>19.645</v>
      </c>
      <c r="E57" s="109">
        <v>22</v>
      </c>
    </row>
    <row r="58" spans="1:6">
      <c r="A58" s="17" t="s">
        <v>161</v>
      </c>
      <c r="B58" s="18">
        <f>ROUND(C58/$C$14,4)</f>
        <v>1.6400000000000001E-2</v>
      </c>
      <c r="C58" s="10">
        <f>E58</f>
        <v>43.76</v>
      </c>
      <c r="D58" s="41">
        <v>175.02</v>
      </c>
      <c r="E58" s="3">
        <f>ROUND(D58*3/12,2)</f>
        <v>43.76</v>
      </c>
    </row>
    <row r="59" spans="1:6">
      <c r="A59" s="17" t="s">
        <v>132</v>
      </c>
      <c r="B59" s="18">
        <f>ROUND(C59/$C$14,4)</f>
        <v>6.59E-2</v>
      </c>
      <c r="C59" s="10">
        <f>ROUND(D59*E59*F59,2)</f>
        <v>176</v>
      </c>
      <c r="D59" s="3">
        <v>4</v>
      </c>
      <c r="E59" s="38">
        <f>E57</f>
        <v>22</v>
      </c>
      <c r="F59" s="3">
        <v>2</v>
      </c>
    </row>
    <row r="60" spans="1:6">
      <c r="A60" s="17" t="s">
        <v>109</v>
      </c>
      <c r="B60" s="18">
        <f>-6%</f>
        <v>-0.06</v>
      </c>
      <c r="C60" s="107">
        <f>ROUND($C$14*B60,2)</f>
        <v>-160.13999999999999</v>
      </c>
    </row>
    <row r="61" spans="1:6">
      <c r="A61" s="17" t="s">
        <v>122</v>
      </c>
      <c r="B61" s="18">
        <f>ROUND(C61/$C$14,4)</f>
        <v>5.4000000000000003E-3</v>
      </c>
      <c r="C61" s="10">
        <f>ROUND(D61*E61,2)</f>
        <v>14.3</v>
      </c>
      <c r="D61" s="3">
        <f>ROUND(220/12,2)</f>
        <v>18.329999999999998</v>
      </c>
      <c r="E61" s="39">
        <v>0.78</v>
      </c>
    </row>
    <row r="62" spans="1:6">
      <c r="A62" s="17" t="s">
        <v>123</v>
      </c>
      <c r="B62" s="18">
        <f>ROUND(C62/$C$14,4)</f>
        <v>7.3000000000000001E-3</v>
      </c>
      <c r="C62" s="10">
        <f>ROUND(D62*E62,2)</f>
        <v>19.61</v>
      </c>
      <c r="D62" s="3">
        <f>ROUND(220/12,2)</f>
        <v>18.329999999999998</v>
      </c>
      <c r="E62" s="39">
        <v>1.07</v>
      </c>
    </row>
    <row r="63" spans="1:6">
      <c r="A63" s="17" t="s">
        <v>154</v>
      </c>
      <c r="B63" s="18">
        <f>ROUND(C63/$C$14,4)</f>
        <v>4.4000000000000003E-3</v>
      </c>
      <c r="C63" s="10">
        <v>11.8</v>
      </c>
    </row>
    <row r="64" spans="1:6">
      <c r="A64" s="17" t="s">
        <v>111</v>
      </c>
      <c r="B64" s="18">
        <v>0</v>
      </c>
      <c r="C64" s="10">
        <f>ROUND($C$14*B64,2)</f>
        <v>0</v>
      </c>
    </row>
    <row r="65" spans="1:5">
      <c r="A65" s="14" t="s">
        <v>18</v>
      </c>
      <c r="B65" s="18">
        <f>SUM(B57:B64)</f>
        <v>0.20129999999999995</v>
      </c>
      <c r="C65" s="16">
        <f>SUM(C57:C64)</f>
        <v>537.52</v>
      </c>
    </row>
    <row r="66" spans="1:5" s="2" customFormat="1" ht="8.25">
      <c r="A66" s="13"/>
    </row>
    <row r="67" spans="1:5" s="7" customFormat="1">
      <c r="A67" s="14" t="s">
        <v>19</v>
      </c>
      <c r="B67" s="15"/>
      <c r="C67" s="16">
        <f>C14+C54+C65</f>
        <v>5097.9799999999996</v>
      </c>
    </row>
    <row r="68" spans="1:5" s="2" customFormat="1" ht="8.25">
      <c r="A68" s="13"/>
    </row>
    <row r="69" spans="1:5" s="7" customFormat="1">
      <c r="A69" s="14" t="s">
        <v>20</v>
      </c>
      <c r="B69" s="15"/>
      <c r="C69" s="15"/>
    </row>
    <row r="70" spans="1:5">
      <c r="A70" s="17" t="s">
        <v>48</v>
      </c>
      <c r="B70" s="18">
        <v>0.1</v>
      </c>
      <c r="C70" s="10">
        <f>ROUND(($C$14+$C$65)*B70,2)</f>
        <v>320.64999999999998</v>
      </c>
    </row>
    <row r="71" spans="1:5">
      <c r="A71" s="17" t="s">
        <v>49</v>
      </c>
      <c r="B71" s="18">
        <v>0.05</v>
      </c>
      <c r="C71" s="10">
        <f>ROUND(($C$14+$C$65)*B71,2)</f>
        <v>160.32</v>
      </c>
    </row>
    <row r="72" spans="1:5">
      <c r="A72" s="14" t="s">
        <v>21</v>
      </c>
      <c r="B72" s="19">
        <f>SUM(B70:B71)</f>
        <v>0.15000000000000002</v>
      </c>
      <c r="C72" s="16">
        <f>SUM(C70:C71)</f>
        <v>480.96999999999997</v>
      </c>
    </row>
    <row r="73" spans="1:5" s="2" customFormat="1" ht="8.25">
      <c r="A73" s="13"/>
    </row>
    <row r="74" spans="1:5" s="7" customFormat="1">
      <c r="A74" s="14" t="s">
        <v>22</v>
      </c>
      <c r="B74" s="15"/>
      <c r="C74" s="15"/>
    </row>
    <row r="75" spans="1:5">
      <c r="A75" s="8" t="s">
        <v>23</v>
      </c>
      <c r="B75" s="18">
        <v>0.03</v>
      </c>
      <c r="C75" s="10">
        <f>ROUND(((($C$67+$C$72)/(1-($B$78)))-($C$67+$C$72))*(B75/$B$78),2)</f>
        <v>179.29</v>
      </c>
      <c r="D75" s="23"/>
    </row>
    <row r="76" spans="1:5">
      <c r="A76" s="8" t="s">
        <v>24</v>
      </c>
      <c r="B76" s="18">
        <v>0.03</v>
      </c>
      <c r="C76" s="10">
        <f>ROUND(((($C$67+$C$72)/(1-($B$78)))-($C$67+$C$72))*(B76/$B$78),2)</f>
        <v>179.29</v>
      </c>
    </row>
    <row r="77" spans="1:5">
      <c r="A77" s="8" t="s">
        <v>25</v>
      </c>
      <c r="B77" s="18">
        <v>6.4999999999999997E-3</v>
      </c>
      <c r="C77" s="10">
        <f>ROUND(((($C$67+$C$72)/(1-($B$78)))-($C$67+$C$72))*(B77/$B$78),2)</f>
        <v>38.85</v>
      </c>
    </row>
    <row r="78" spans="1:5" s="7" customFormat="1">
      <c r="A78" s="14" t="s">
        <v>26</v>
      </c>
      <c r="B78" s="19">
        <f>SUM(B75:B77)</f>
        <v>6.6500000000000004E-2</v>
      </c>
      <c r="C78" s="16">
        <f>SUM(C75:C77)</f>
        <v>397.43</v>
      </c>
    </row>
    <row r="79" spans="1:5" s="2" customFormat="1" ht="9" customHeight="1">
      <c r="A79" s="13"/>
      <c r="D79" s="7"/>
      <c r="E79" s="7"/>
    </row>
    <row r="80" spans="1:5" s="7" customFormat="1">
      <c r="A80" s="14" t="s">
        <v>27</v>
      </c>
      <c r="B80" s="15"/>
      <c r="C80" s="16">
        <f>C67+C72+C78</f>
        <v>5976.38</v>
      </c>
    </row>
    <row r="81" spans="1:5" s="27" customFormat="1" ht="8.25" customHeight="1">
      <c r="A81" s="24"/>
      <c r="B81" s="25"/>
      <c r="C81" s="26"/>
      <c r="D81" s="7"/>
      <c r="E81" s="7"/>
    </row>
    <row r="82" spans="1:5" s="7" customFormat="1" ht="8.25" customHeight="1">
      <c r="A82" s="35"/>
      <c r="B82" s="36"/>
      <c r="C82" s="37"/>
    </row>
    <row r="83" spans="1:5" s="7" customFormat="1">
      <c r="A83" s="108" t="s">
        <v>155</v>
      </c>
      <c r="B83" s="108"/>
      <c r="C83" s="16">
        <v>35.270000000000003</v>
      </c>
    </row>
    <row r="84" spans="1:5" s="2" customFormat="1">
      <c r="D84" s="7"/>
      <c r="E84" s="7"/>
    </row>
    <row r="85" spans="1:5" s="2" customFormat="1">
      <c r="A85" s="7"/>
      <c r="D85" s="7"/>
      <c r="E85" s="7"/>
    </row>
    <row r="86" spans="1:5">
      <c r="A86" s="160"/>
      <c r="B86" s="160"/>
      <c r="C86" s="160"/>
    </row>
  </sheetData>
  <sheetProtection selectLockedCells="1" selectUnlockedCells="1"/>
  <mergeCells count="5">
    <mergeCell ref="A86:C86"/>
    <mergeCell ref="A2:C2"/>
    <mergeCell ref="A3:C3"/>
    <mergeCell ref="A5:C5"/>
    <mergeCell ref="A6:C6"/>
  </mergeCells>
  <phoneticPr fontId="0" type="noConversion"/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5" zoomScaleSheetLayoutView="100" workbookViewId="0">
      <selection activeCell="E83" sqref="E83"/>
    </sheetView>
  </sheetViews>
  <sheetFormatPr defaultRowHeight="12.75"/>
  <cols>
    <col min="1" max="1" width="85.42578125" style="3" customWidth="1"/>
    <col min="2" max="2" width="10" style="3" customWidth="1"/>
    <col min="3" max="3" width="11.5703125" style="3" bestFit="1" customWidth="1"/>
    <col min="4" max="4" width="9.140625" style="3"/>
    <col min="5" max="5" width="16.85546875" style="3" bestFit="1" customWidth="1"/>
    <col min="6" max="6" width="7.7109375" style="3" customWidth="1"/>
    <col min="7" max="16384" width="9.140625" style="3"/>
  </cols>
  <sheetData>
    <row r="1" spans="1:6" s="2" customFormat="1">
      <c r="A1" s="110"/>
      <c r="B1" s="110"/>
      <c r="C1" s="110"/>
      <c r="E1" s="3"/>
      <c r="F1" s="3"/>
    </row>
    <row r="2" spans="1:6" s="2" customFormat="1" ht="18.75">
      <c r="A2" s="161" t="s">
        <v>46</v>
      </c>
      <c r="B2" s="161"/>
      <c r="C2" s="161"/>
      <c r="E2" s="3"/>
      <c r="F2" s="3"/>
    </row>
    <row r="3" spans="1:6" s="2" customFormat="1" ht="18.75">
      <c r="A3" s="161" t="s">
        <v>0</v>
      </c>
      <c r="B3" s="161"/>
      <c r="C3" s="161"/>
      <c r="E3" s="3"/>
      <c r="F3" s="3"/>
    </row>
    <row r="4" spans="1:6" s="2" customFormat="1" ht="8.25">
      <c r="A4" s="111"/>
      <c r="B4" s="111"/>
      <c r="C4" s="111"/>
    </row>
    <row r="5" spans="1:6">
      <c r="A5" s="160" t="s">
        <v>52</v>
      </c>
      <c r="B5" s="160"/>
      <c r="C5" s="160"/>
    </row>
    <row r="6" spans="1:6">
      <c r="A6" s="160" t="s">
        <v>168</v>
      </c>
      <c r="B6" s="160"/>
      <c r="C6" s="160"/>
    </row>
    <row r="7" spans="1:6" s="2" customFormat="1" ht="8.25"/>
    <row r="8" spans="1:6" s="7" customFormat="1">
      <c r="A8" s="5" t="s">
        <v>2</v>
      </c>
      <c r="B8" s="6"/>
      <c r="C8" s="6"/>
    </row>
    <row r="9" spans="1:6" s="11" customFormat="1">
      <c r="A9" s="17" t="s">
        <v>170</v>
      </c>
      <c r="B9" s="9"/>
      <c r="C9" s="10">
        <v>2668.97</v>
      </c>
      <c r="E9" s="12"/>
    </row>
    <row r="10" spans="1:6" s="2" customFormat="1" ht="8.25">
      <c r="A10" s="13"/>
    </row>
    <row r="11" spans="1:6" s="7" customFormat="1">
      <c r="A11" s="14" t="s">
        <v>3</v>
      </c>
      <c r="B11" s="15"/>
      <c r="C11" s="15"/>
    </row>
    <row r="12" spans="1:6" s="7" customFormat="1">
      <c r="A12" s="14" t="s">
        <v>4</v>
      </c>
      <c r="B12" s="15"/>
      <c r="C12" s="15"/>
    </row>
    <row r="13" spans="1:6">
      <c r="A13" s="8" t="s">
        <v>5</v>
      </c>
      <c r="B13" s="9"/>
      <c r="C13" s="10">
        <f>C9</f>
        <v>2668.97</v>
      </c>
    </row>
    <row r="14" spans="1:6" s="7" customFormat="1">
      <c r="A14" s="14" t="s">
        <v>6</v>
      </c>
      <c r="B14" s="15"/>
      <c r="C14" s="16">
        <f>C13</f>
        <v>2668.97</v>
      </c>
    </row>
    <row r="15" spans="1:6" s="2" customFormat="1" ht="8.25">
      <c r="A15" s="13"/>
    </row>
    <row r="16" spans="1:6" s="7" customFormat="1">
      <c r="A16" s="14" t="s">
        <v>7</v>
      </c>
      <c r="B16" s="15"/>
      <c r="C16" s="15"/>
    </row>
    <row r="17" spans="1:5" s="7" customFormat="1">
      <c r="A17" s="14" t="s">
        <v>8</v>
      </c>
      <c r="B17" s="15"/>
      <c r="C17" s="15"/>
    </row>
    <row r="18" spans="1:5">
      <c r="A18" s="17" t="s">
        <v>45</v>
      </c>
      <c r="B18" s="18">
        <v>0.2</v>
      </c>
      <c r="C18" s="10">
        <f t="shared" ref="C18:C26" si="0">ROUND($C$14*B18,2)</f>
        <v>533.79</v>
      </c>
    </row>
    <row r="19" spans="1:5">
      <c r="A19" s="8" t="s">
        <v>9</v>
      </c>
      <c r="B19" s="18">
        <v>0.08</v>
      </c>
      <c r="C19" s="10">
        <f t="shared" si="0"/>
        <v>213.52</v>
      </c>
    </row>
    <row r="20" spans="1:5">
      <c r="A20" s="17" t="s">
        <v>34</v>
      </c>
      <c r="B20" s="18">
        <v>1.4999999999999999E-2</v>
      </c>
      <c r="C20" s="10">
        <f t="shared" si="0"/>
        <v>40.03</v>
      </c>
    </row>
    <row r="21" spans="1:5">
      <c r="A21" s="17" t="s">
        <v>35</v>
      </c>
      <c r="B21" s="18">
        <v>0.01</v>
      </c>
      <c r="C21" s="10">
        <f t="shared" si="0"/>
        <v>26.69</v>
      </c>
    </row>
    <row r="22" spans="1:5">
      <c r="A22" s="17" t="s">
        <v>36</v>
      </c>
      <c r="B22" s="18">
        <v>2E-3</v>
      </c>
      <c r="C22" s="10">
        <f t="shared" si="0"/>
        <v>5.34</v>
      </c>
    </row>
    <row r="23" spans="1:5">
      <c r="A23" s="17" t="s">
        <v>37</v>
      </c>
      <c r="B23" s="18">
        <v>6.0000000000000001E-3</v>
      </c>
      <c r="C23" s="10">
        <f t="shared" si="0"/>
        <v>16.010000000000002</v>
      </c>
    </row>
    <row r="24" spans="1:5">
      <c r="A24" s="17" t="s">
        <v>39</v>
      </c>
      <c r="B24" s="18">
        <v>0</v>
      </c>
      <c r="C24" s="10">
        <f>ROUND($C$14*B24,2)</f>
        <v>0</v>
      </c>
    </row>
    <row r="25" spans="1:5">
      <c r="A25" s="8" t="s">
        <v>10</v>
      </c>
      <c r="B25" s="18">
        <v>2.5000000000000001E-2</v>
      </c>
      <c r="C25" s="10">
        <f t="shared" si="0"/>
        <v>66.72</v>
      </c>
    </row>
    <row r="26" spans="1:5" ht="25.5">
      <c r="A26" s="8" t="s">
        <v>11</v>
      </c>
      <c r="B26" s="18">
        <v>0.03</v>
      </c>
      <c r="C26" s="10">
        <f t="shared" si="0"/>
        <v>80.069999999999993</v>
      </c>
    </row>
    <row r="27" spans="1:5" s="7" customFormat="1">
      <c r="A27" s="14" t="s">
        <v>12</v>
      </c>
      <c r="B27" s="19">
        <f>SUM(B18:B26)</f>
        <v>0.3680000000000001</v>
      </c>
      <c r="C27" s="16">
        <f>SUM(C18:C26)</f>
        <v>982.17000000000007</v>
      </c>
    </row>
    <row r="28" spans="1:5" s="2" customFormat="1" ht="8.25">
      <c r="A28" s="13"/>
    </row>
    <row r="29" spans="1:5" s="7" customFormat="1">
      <c r="A29" s="14" t="s">
        <v>13</v>
      </c>
      <c r="B29" s="15"/>
      <c r="C29" s="15"/>
    </row>
    <row r="30" spans="1:5">
      <c r="A30" s="17" t="s">
        <v>32</v>
      </c>
      <c r="B30" s="18">
        <v>0</v>
      </c>
      <c r="C30" s="10">
        <f t="shared" ref="C30:C39" si="1">ROUND($C$14*B30,2)</f>
        <v>0</v>
      </c>
    </row>
    <row r="31" spans="1:5">
      <c r="A31" s="17" t="s">
        <v>33</v>
      </c>
      <c r="B31" s="18">
        <v>0</v>
      </c>
      <c r="C31" s="10">
        <f>ROUND($C$14*B31,2)</f>
        <v>0</v>
      </c>
    </row>
    <row r="32" spans="1:5">
      <c r="A32" s="17" t="s">
        <v>54</v>
      </c>
      <c r="B32" s="18">
        <v>8.3299999999999999E-2</v>
      </c>
      <c r="C32" s="10">
        <f>ROUND($C$14*B32,2)</f>
        <v>222.33</v>
      </c>
      <c r="E32" s="20"/>
    </row>
    <row r="33" spans="1:5">
      <c r="A33" s="17" t="s">
        <v>55</v>
      </c>
      <c r="B33" s="18">
        <v>6.4699999999999994E-2</v>
      </c>
      <c r="C33" s="10">
        <f t="shared" si="1"/>
        <v>172.68</v>
      </c>
      <c r="E33" s="21"/>
    </row>
    <row r="34" spans="1:5">
      <c r="A34" s="17" t="s">
        <v>56</v>
      </c>
      <c r="B34" s="18">
        <v>2.9999999999999997E-4</v>
      </c>
      <c r="C34" s="10">
        <f t="shared" si="1"/>
        <v>0.8</v>
      </c>
    </row>
    <row r="35" spans="1:5">
      <c r="A35" s="17" t="s">
        <v>57</v>
      </c>
      <c r="B35" s="18">
        <v>6.7000000000000002E-3</v>
      </c>
      <c r="C35" s="10">
        <f t="shared" si="1"/>
        <v>17.88</v>
      </c>
    </row>
    <row r="36" spans="1:5">
      <c r="A36" s="17" t="s">
        <v>58</v>
      </c>
      <c r="B36" s="18">
        <v>5.9999999999999995E-4</v>
      </c>
      <c r="C36" s="10">
        <f>ROUND($C$14*B36,2)</f>
        <v>1.6</v>
      </c>
      <c r="E36" s="22"/>
    </row>
    <row r="37" spans="1:5">
      <c r="A37" s="17" t="s">
        <v>59</v>
      </c>
      <c r="B37" s="18">
        <v>8.0000000000000004E-4</v>
      </c>
      <c r="C37" s="10">
        <f t="shared" si="1"/>
        <v>2.14</v>
      </c>
    </row>
    <row r="38" spans="1:5">
      <c r="A38" s="17" t="s">
        <v>60</v>
      </c>
      <c r="B38" s="18">
        <v>5.5999999999999999E-3</v>
      </c>
      <c r="C38" s="10">
        <f>ROUND($C$14*B38,2)</f>
        <v>14.95</v>
      </c>
      <c r="E38" s="21"/>
    </row>
    <row r="39" spans="1:5">
      <c r="A39" s="17" t="s">
        <v>38</v>
      </c>
      <c r="B39" s="18">
        <v>0</v>
      </c>
      <c r="C39" s="10">
        <f t="shared" si="1"/>
        <v>0</v>
      </c>
    </row>
    <row r="40" spans="1:5" s="7" customFormat="1">
      <c r="A40" s="14" t="s">
        <v>14</v>
      </c>
      <c r="B40" s="19">
        <f>SUM(B30:B39)</f>
        <v>0.16199999999999998</v>
      </c>
      <c r="C40" s="16">
        <f>SUM(C30:C39)</f>
        <v>432.38</v>
      </c>
    </row>
    <row r="41" spans="1:5" s="2" customFormat="1" ht="8.25">
      <c r="A41" s="13"/>
    </row>
    <row r="42" spans="1:5" s="7" customFormat="1" ht="12.75" customHeight="1">
      <c r="A42" s="14" t="s">
        <v>15</v>
      </c>
      <c r="B42" s="15"/>
      <c r="C42" s="15"/>
    </row>
    <row r="43" spans="1:5">
      <c r="A43" s="17" t="s">
        <v>61</v>
      </c>
      <c r="B43" s="18">
        <v>8.9999999999999998E-4</v>
      </c>
      <c r="C43" s="10">
        <f>ROUND($C$14*B43,2)</f>
        <v>2.4</v>
      </c>
      <c r="E43" s="40"/>
    </row>
    <row r="44" spans="1:5">
      <c r="A44" s="17" t="s">
        <v>62</v>
      </c>
      <c r="B44" s="18">
        <v>4.0300000000000002E-2</v>
      </c>
      <c r="C44" s="10">
        <f>ROUND($C$14*B44,2)</f>
        <v>107.56</v>
      </c>
    </row>
    <row r="45" spans="1:5">
      <c r="A45" s="17" t="s">
        <v>63</v>
      </c>
      <c r="B45" s="18">
        <v>4.07E-2</v>
      </c>
      <c r="C45" s="10">
        <f>ROUND($C$14*B45,2)</f>
        <v>108.63</v>
      </c>
    </row>
    <row r="46" spans="1:5">
      <c r="A46" s="17" t="s">
        <v>64</v>
      </c>
      <c r="B46" s="18">
        <v>3.0200000000000001E-2</v>
      </c>
      <c r="C46" s="10">
        <f>ROUND($C$14*B46,2)</f>
        <v>80.599999999999994</v>
      </c>
    </row>
    <row r="47" spans="1:5">
      <c r="A47" s="17" t="s">
        <v>65</v>
      </c>
      <c r="B47" s="18">
        <v>3.3999999999999998E-3</v>
      </c>
      <c r="C47" s="10">
        <f>ROUND($C$14*B47,2)</f>
        <v>9.07</v>
      </c>
    </row>
    <row r="48" spans="1:5" s="7" customFormat="1">
      <c r="A48" s="14" t="s">
        <v>44</v>
      </c>
      <c r="B48" s="19">
        <f>SUM(B43:B47)</f>
        <v>0.11550000000000001</v>
      </c>
      <c r="C48" s="16">
        <f>SUM(C43:C47)</f>
        <v>308.26</v>
      </c>
    </row>
    <row r="49" spans="1:6" s="2" customFormat="1" ht="8.25">
      <c r="A49" s="13"/>
    </row>
    <row r="50" spans="1:6" s="7" customFormat="1">
      <c r="A50" s="14" t="s">
        <v>40</v>
      </c>
      <c r="B50" s="19"/>
      <c r="C50" s="16"/>
    </row>
    <row r="51" spans="1:6">
      <c r="A51" s="17" t="s">
        <v>41</v>
      </c>
      <c r="B51" s="18">
        <v>5.96E-2</v>
      </c>
      <c r="C51" s="10">
        <f>ROUND($C$14*B51,2)</f>
        <v>159.07</v>
      </c>
    </row>
    <row r="52" spans="1:6" ht="25.5">
      <c r="A52" s="17" t="s">
        <v>47</v>
      </c>
      <c r="B52" s="18">
        <v>3.5999999999999999E-3</v>
      </c>
      <c r="C52" s="10">
        <f>ROUND($C$14*B52,2)</f>
        <v>9.61</v>
      </c>
    </row>
    <row r="53" spans="1:6" s="7" customFormat="1">
      <c r="A53" s="14" t="s">
        <v>43</v>
      </c>
      <c r="B53" s="19">
        <f>SUM(B51:B52)</f>
        <v>6.3200000000000006E-2</v>
      </c>
      <c r="C53" s="16">
        <f>SUM(C51:C52)</f>
        <v>168.68</v>
      </c>
    </row>
    <row r="54" spans="1:6" s="7" customFormat="1">
      <c r="A54" s="14" t="s">
        <v>16</v>
      </c>
      <c r="B54" s="19">
        <f>B27+B40+B48+B53</f>
        <v>0.70870000000000011</v>
      </c>
      <c r="C54" s="16">
        <f>C27+C40+C48+C53</f>
        <v>1891.4900000000002</v>
      </c>
    </row>
    <row r="55" spans="1:6" s="2" customFormat="1" ht="8.25">
      <c r="A55" s="13"/>
    </row>
    <row r="56" spans="1:6" s="7" customFormat="1">
      <c r="A56" s="14" t="s">
        <v>17</v>
      </c>
      <c r="B56" s="15"/>
      <c r="C56" s="15"/>
    </row>
    <row r="57" spans="1:6">
      <c r="A57" s="17" t="s">
        <v>176</v>
      </c>
      <c r="B57" s="18">
        <f>ROUND(C57/$C$14,4)</f>
        <v>0.16189999999999999</v>
      </c>
      <c r="C57" s="10">
        <v>432.19</v>
      </c>
      <c r="D57" s="3">
        <f>C57/E57</f>
        <v>19.645</v>
      </c>
      <c r="E57" s="3">
        <v>22</v>
      </c>
      <c r="F57" s="3">
        <f>D57*E57</f>
        <v>432.19</v>
      </c>
    </row>
    <row r="58" spans="1:6">
      <c r="A58" s="17" t="s">
        <v>161</v>
      </c>
      <c r="B58" s="18">
        <f>ROUND(C58/$C$14,4)</f>
        <v>1.6400000000000001E-2</v>
      </c>
      <c r="C58" s="10">
        <f>E58</f>
        <v>43.76</v>
      </c>
      <c r="D58" s="41">
        <v>175.02</v>
      </c>
      <c r="E58" s="3">
        <f>ROUND(D58*3/12,2)</f>
        <v>43.76</v>
      </c>
    </row>
    <row r="59" spans="1:6">
      <c r="A59" s="17" t="s">
        <v>132</v>
      </c>
      <c r="B59" s="18">
        <f>ROUND(C59/$C$14,4)</f>
        <v>6.59E-2</v>
      </c>
      <c r="C59" s="10">
        <f>ROUND(D59*E59*F59,2)</f>
        <v>176</v>
      </c>
      <c r="D59" s="3">
        <v>4</v>
      </c>
      <c r="E59" s="38">
        <f>E57</f>
        <v>22</v>
      </c>
      <c r="F59" s="3">
        <v>2</v>
      </c>
    </row>
    <row r="60" spans="1:6">
      <c r="A60" s="17" t="s">
        <v>109</v>
      </c>
      <c r="B60" s="18">
        <f>-6%</f>
        <v>-0.06</v>
      </c>
      <c r="C60" s="107">
        <f>ROUND($C$14*B60,2)</f>
        <v>-160.13999999999999</v>
      </c>
    </row>
    <row r="61" spans="1:6">
      <c r="A61" s="17" t="s">
        <v>122</v>
      </c>
      <c r="B61" s="18">
        <f>ROUND(C61/$C$14,4)</f>
        <v>5.4000000000000003E-3</v>
      </c>
      <c r="C61" s="10">
        <f>ROUND(D61*E61,2)</f>
        <v>14.3</v>
      </c>
      <c r="D61" s="3">
        <f>ROUND(220/12,2)</f>
        <v>18.329999999999998</v>
      </c>
      <c r="E61" s="39">
        <v>0.78</v>
      </c>
    </row>
    <row r="62" spans="1:6">
      <c r="A62" s="17" t="s">
        <v>123</v>
      </c>
      <c r="B62" s="18">
        <f>ROUND(C62/$C$14,4)</f>
        <v>7.3000000000000001E-3</v>
      </c>
      <c r="C62" s="10">
        <f>ROUND(D62*E62,2)</f>
        <v>19.61</v>
      </c>
      <c r="D62" s="3">
        <f>ROUND(220/12,2)</f>
        <v>18.329999999999998</v>
      </c>
      <c r="E62" s="39">
        <v>1.07</v>
      </c>
    </row>
    <row r="63" spans="1:6">
      <c r="A63" s="17" t="s">
        <v>154</v>
      </c>
      <c r="B63" s="18">
        <f>ROUND(C63/$C$14,4)</f>
        <v>4.4000000000000003E-3</v>
      </c>
      <c r="C63" s="10">
        <v>11.8</v>
      </c>
    </row>
    <row r="64" spans="1:6">
      <c r="A64" s="17" t="s">
        <v>111</v>
      </c>
      <c r="B64" s="18">
        <v>0</v>
      </c>
      <c r="C64" s="10">
        <f>ROUND($C$14*B64,2)</f>
        <v>0</v>
      </c>
    </row>
    <row r="65" spans="1:5">
      <c r="A65" s="14" t="s">
        <v>18</v>
      </c>
      <c r="B65" s="18">
        <f>SUM(B57:B64)</f>
        <v>0.20129999999999995</v>
      </c>
      <c r="C65" s="16">
        <f>SUM(C57:C64)</f>
        <v>537.52</v>
      </c>
    </row>
    <row r="66" spans="1:5" s="2" customFormat="1" ht="8.25">
      <c r="A66" s="13"/>
    </row>
    <row r="67" spans="1:5" s="7" customFormat="1">
      <c r="A67" s="14" t="s">
        <v>19</v>
      </c>
      <c r="B67" s="15"/>
      <c r="C67" s="16">
        <f>C14+C54+C65</f>
        <v>5097.9799999999996</v>
      </c>
    </row>
    <row r="68" spans="1:5" s="2" customFormat="1" ht="8.25">
      <c r="A68" s="13"/>
    </row>
    <row r="69" spans="1:5" s="7" customFormat="1">
      <c r="A69" s="14" t="s">
        <v>20</v>
      </c>
      <c r="B69" s="15"/>
      <c r="C69" s="15"/>
    </row>
    <row r="70" spans="1:5">
      <c r="A70" s="17" t="s">
        <v>48</v>
      </c>
      <c r="B70" s="18">
        <v>0.1</v>
      </c>
      <c r="C70" s="10">
        <f>ROUND(($C$14+$C$65)*B70,2)</f>
        <v>320.64999999999998</v>
      </c>
    </row>
    <row r="71" spans="1:5">
      <c r="A71" s="17" t="s">
        <v>49</v>
      </c>
      <c r="B71" s="18">
        <v>0.05</v>
      </c>
      <c r="C71" s="10">
        <f>ROUND(($C$14+$C$65)*B71,2)</f>
        <v>160.32</v>
      </c>
    </row>
    <row r="72" spans="1:5">
      <c r="A72" s="14" t="s">
        <v>21</v>
      </c>
      <c r="B72" s="19">
        <f>SUM(B70:B71)</f>
        <v>0.15000000000000002</v>
      </c>
      <c r="C72" s="16">
        <f>SUM(C70:C71)</f>
        <v>480.96999999999997</v>
      </c>
    </row>
    <row r="73" spans="1:5" s="2" customFormat="1" ht="8.25">
      <c r="A73" s="13"/>
    </row>
    <row r="74" spans="1:5" s="7" customFormat="1">
      <c r="A74" s="14" t="s">
        <v>22</v>
      </c>
      <c r="B74" s="15"/>
      <c r="C74" s="15"/>
    </row>
    <row r="75" spans="1:5">
      <c r="A75" s="8" t="s">
        <v>23</v>
      </c>
      <c r="B75" s="18">
        <v>0.03</v>
      </c>
      <c r="C75" s="10">
        <f>ROUND(((($C$67+$C$72)/(1-($B$78)))-($C$67+$C$72))*(B75/$B$78),2)</f>
        <v>179.29</v>
      </c>
      <c r="D75" s="23"/>
    </row>
    <row r="76" spans="1:5">
      <c r="A76" s="8" t="s">
        <v>24</v>
      </c>
      <c r="B76" s="18">
        <v>0.03</v>
      </c>
      <c r="C76" s="10">
        <f>ROUND(((($C$67+$C$72)/(1-($B$78)))-($C$67+$C$72))*(B76/$B$78),2)</f>
        <v>179.29</v>
      </c>
    </row>
    <row r="77" spans="1:5">
      <c r="A77" s="8" t="s">
        <v>25</v>
      </c>
      <c r="B77" s="18">
        <v>6.4999999999999997E-3</v>
      </c>
      <c r="C77" s="10">
        <f>ROUND(((($C$67+$C$72)/(1-($B$78)))-($C$67+$C$72))*(B77/$B$78),2)</f>
        <v>38.85</v>
      </c>
    </row>
    <row r="78" spans="1:5" s="7" customFormat="1">
      <c r="A78" s="14" t="s">
        <v>26</v>
      </c>
      <c r="B78" s="19">
        <f>SUM(B75:B77)</f>
        <v>6.6500000000000004E-2</v>
      </c>
      <c r="C78" s="16">
        <f>SUM(C75:C77)</f>
        <v>397.43</v>
      </c>
    </row>
    <row r="79" spans="1:5" s="2" customFormat="1" ht="9" customHeight="1">
      <c r="A79" s="13"/>
      <c r="D79" s="7"/>
      <c r="E79" s="7"/>
    </row>
    <row r="80" spans="1:5" s="7" customFormat="1">
      <c r="A80" s="14" t="s">
        <v>88</v>
      </c>
      <c r="B80" s="15"/>
      <c r="C80" s="16">
        <f>C67+C72+C78</f>
        <v>5976.38</v>
      </c>
    </row>
    <row r="81" spans="1:5" s="27" customFormat="1" ht="8.25" customHeight="1">
      <c r="A81" s="24"/>
      <c r="B81" s="25"/>
      <c r="C81" s="26"/>
      <c r="D81" s="7"/>
      <c r="E81" s="7"/>
    </row>
    <row r="82" spans="1:5" s="7" customFormat="1" ht="8.25" customHeight="1">
      <c r="A82" s="35"/>
      <c r="B82" s="36"/>
      <c r="C82" s="37"/>
    </row>
    <row r="83" spans="1:5" s="7" customFormat="1">
      <c r="A83" s="108" t="s">
        <v>155</v>
      </c>
      <c r="B83" s="108"/>
      <c r="C83" s="16">
        <v>35.270000000000003</v>
      </c>
    </row>
    <row r="84" spans="1:5" s="2" customFormat="1">
      <c r="D84" s="7"/>
      <c r="E84" s="7"/>
    </row>
    <row r="85" spans="1:5" s="2" customFormat="1">
      <c r="A85" s="7"/>
      <c r="D85" s="7"/>
      <c r="E85" s="7"/>
    </row>
    <row r="86" spans="1:5">
      <c r="A86" s="160"/>
      <c r="B86" s="160"/>
      <c r="C86" s="160"/>
    </row>
  </sheetData>
  <sheetProtection selectLockedCells="1" selectUnlockedCells="1"/>
  <mergeCells count="5">
    <mergeCell ref="A2:C2"/>
    <mergeCell ref="A3:C3"/>
    <mergeCell ref="A5:C5"/>
    <mergeCell ref="A6:C6"/>
    <mergeCell ref="A86:C86"/>
  </mergeCells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E80" sqref="E80"/>
    </sheetView>
  </sheetViews>
  <sheetFormatPr defaultRowHeight="12.75"/>
  <cols>
    <col min="1" max="1" width="85.42578125" style="3" customWidth="1"/>
    <col min="2" max="2" width="10" style="3" customWidth="1"/>
    <col min="3" max="3" width="11.5703125" style="3" bestFit="1" customWidth="1"/>
    <col min="4" max="4" width="9.140625" style="3"/>
    <col min="5" max="5" width="16.85546875" style="3" bestFit="1" customWidth="1"/>
    <col min="6" max="6" width="7.7109375" style="3" customWidth="1"/>
    <col min="7" max="16384" width="9.140625" style="3"/>
  </cols>
  <sheetData>
    <row r="1" spans="1:6" s="2" customFormat="1">
      <c r="A1" s="110"/>
      <c r="B1" s="110"/>
      <c r="C1" s="110"/>
      <c r="E1" s="3"/>
      <c r="F1" s="3"/>
    </row>
    <row r="2" spans="1:6" s="2" customFormat="1" ht="18.75">
      <c r="A2" s="161" t="s">
        <v>46</v>
      </c>
      <c r="B2" s="161"/>
      <c r="C2" s="161"/>
      <c r="E2" s="3"/>
      <c r="F2" s="3"/>
    </row>
    <row r="3" spans="1:6" s="2" customFormat="1" ht="18.75">
      <c r="A3" s="161" t="s">
        <v>66</v>
      </c>
      <c r="B3" s="161"/>
      <c r="C3" s="161"/>
      <c r="E3" s="3"/>
      <c r="F3" s="3"/>
    </row>
    <row r="4" spans="1:6" s="2" customFormat="1" ht="8.25">
      <c r="A4" s="111"/>
      <c r="B4" s="111"/>
      <c r="C4" s="111"/>
    </row>
    <row r="5" spans="1:6">
      <c r="A5" s="160" t="s">
        <v>52</v>
      </c>
      <c r="B5" s="160"/>
      <c r="C5" s="160"/>
    </row>
    <row r="6" spans="1:6">
      <c r="A6" s="160" t="s">
        <v>168</v>
      </c>
      <c r="B6" s="160"/>
      <c r="C6" s="160"/>
    </row>
    <row r="7" spans="1:6" s="2" customFormat="1" ht="8.25"/>
    <row r="8" spans="1:6" s="7" customFormat="1">
      <c r="A8" s="5" t="s">
        <v>2</v>
      </c>
      <c r="B8" s="6"/>
      <c r="C8" s="6"/>
    </row>
    <row r="9" spans="1:6" s="11" customFormat="1">
      <c r="A9" s="17" t="s">
        <v>171</v>
      </c>
      <c r="B9" s="9"/>
      <c r="C9" s="10">
        <v>1703.1</v>
      </c>
      <c r="E9" s="12"/>
    </row>
    <row r="10" spans="1:6" s="2" customFormat="1" ht="8.25">
      <c r="A10" s="13"/>
    </row>
    <row r="11" spans="1:6" s="7" customFormat="1">
      <c r="A11" s="14" t="s">
        <v>3</v>
      </c>
      <c r="B11" s="15"/>
      <c r="C11" s="15"/>
    </row>
    <row r="12" spans="1:6" s="7" customFormat="1">
      <c r="A12" s="14" t="s">
        <v>4</v>
      </c>
      <c r="B12" s="15"/>
      <c r="C12" s="15"/>
    </row>
    <row r="13" spans="1:6">
      <c r="A13" s="8" t="s">
        <v>5</v>
      </c>
      <c r="B13" s="9"/>
      <c r="C13" s="10">
        <f>C9</f>
        <v>1703.1</v>
      </c>
    </row>
    <row r="14" spans="1:6" s="7" customFormat="1">
      <c r="A14" s="14" t="s">
        <v>6</v>
      </c>
      <c r="B14" s="15"/>
      <c r="C14" s="16">
        <f>C13</f>
        <v>1703.1</v>
      </c>
    </row>
    <row r="15" spans="1:6" s="2" customFormat="1" ht="8.25">
      <c r="A15" s="13"/>
    </row>
    <row r="16" spans="1:6" s="7" customFormat="1">
      <c r="A16" s="14" t="s">
        <v>7</v>
      </c>
      <c r="B16" s="15"/>
      <c r="C16" s="15"/>
    </row>
    <row r="17" spans="1:5" s="7" customFormat="1">
      <c r="A17" s="14" t="s">
        <v>8</v>
      </c>
      <c r="B17" s="15"/>
      <c r="C17" s="15"/>
    </row>
    <row r="18" spans="1:5">
      <c r="A18" s="17" t="s">
        <v>45</v>
      </c>
      <c r="B18" s="18">
        <v>0.2</v>
      </c>
      <c r="C18" s="10">
        <f t="shared" ref="C18:C26" si="0">ROUND($C$14*B18,2)</f>
        <v>340.62</v>
      </c>
    </row>
    <row r="19" spans="1:5">
      <c r="A19" s="8" t="s">
        <v>9</v>
      </c>
      <c r="B19" s="18">
        <v>0.08</v>
      </c>
      <c r="C19" s="10">
        <f t="shared" si="0"/>
        <v>136.25</v>
      </c>
    </row>
    <row r="20" spans="1:5">
      <c r="A20" s="17" t="s">
        <v>34</v>
      </c>
      <c r="B20" s="18">
        <v>1.4999999999999999E-2</v>
      </c>
      <c r="C20" s="10">
        <f t="shared" si="0"/>
        <v>25.55</v>
      </c>
    </row>
    <row r="21" spans="1:5">
      <c r="A21" s="17" t="s">
        <v>35</v>
      </c>
      <c r="B21" s="18">
        <v>0.01</v>
      </c>
      <c r="C21" s="10">
        <f t="shared" si="0"/>
        <v>17.03</v>
      </c>
    </row>
    <row r="22" spans="1:5">
      <c r="A22" s="17" t="s">
        <v>36</v>
      </c>
      <c r="B22" s="18">
        <v>2E-3</v>
      </c>
      <c r="C22" s="10">
        <f t="shared" si="0"/>
        <v>3.41</v>
      </c>
    </row>
    <row r="23" spans="1:5">
      <c r="A23" s="17" t="s">
        <v>37</v>
      </c>
      <c r="B23" s="18">
        <v>6.0000000000000001E-3</v>
      </c>
      <c r="C23" s="10">
        <f t="shared" si="0"/>
        <v>10.220000000000001</v>
      </c>
    </row>
    <row r="24" spans="1:5">
      <c r="A24" s="17" t="s">
        <v>39</v>
      </c>
      <c r="B24" s="18">
        <v>0</v>
      </c>
      <c r="C24" s="10">
        <f>ROUND($C$14*B24,2)</f>
        <v>0</v>
      </c>
    </row>
    <row r="25" spans="1:5">
      <c r="A25" s="8" t="s">
        <v>10</v>
      </c>
      <c r="B25" s="18">
        <v>2.5000000000000001E-2</v>
      </c>
      <c r="C25" s="10">
        <f t="shared" si="0"/>
        <v>42.58</v>
      </c>
    </row>
    <row r="26" spans="1:5" ht="25.5">
      <c r="A26" s="8" t="s">
        <v>11</v>
      </c>
      <c r="B26" s="18">
        <v>0.03</v>
      </c>
      <c r="C26" s="10">
        <f t="shared" si="0"/>
        <v>51.09</v>
      </c>
    </row>
    <row r="27" spans="1:5" s="7" customFormat="1">
      <c r="A27" s="14" t="s">
        <v>12</v>
      </c>
      <c r="B27" s="19">
        <f>SUM(B18:B26)</f>
        <v>0.3680000000000001</v>
      </c>
      <c r="C27" s="16">
        <f>SUM(C18:C26)</f>
        <v>626.75000000000011</v>
      </c>
    </row>
    <row r="28" spans="1:5" s="2" customFormat="1" ht="8.25">
      <c r="A28" s="13"/>
    </row>
    <row r="29" spans="1:5" s="7" customFormat="1">
      <c r="A29" s="14" t="s">
        <v>13</v>
      </c>
      <c r="B29" s="15"/>
      <c r="C29" s="15"/>
    </row>
    <row r="30" spans="1:5">
      <c r="A30" s="17" t="s">
        <v>32</v>
      </c>
      <c r="B30" s="18">
        <v>0</v>
      </c>
      <c r="C30" s="10">
        <f t="shared" ref="C30:C39" si="1">ROUND($C$14*B30,2)</f>
        <v>0</v>
      </c>
    </row>
    <row r="31" spans="1:5">
      <c r="A31" s="17" t="s">
        <v>33</v>
      </c>
      <c r="B31" s="18">
        <v>0</v>
      </c>
      <c r="C31" s="10">
        <f>ROUND($C$14*B31,2)</f>
        <v>0</v>
      </c>
    </row>
    <row r="32" spans="1:5">
      <c r="A32" s="17" t="s">
        <v>54</v>
      </c>
      <c r="B32" s="18">
        <v>8.3299999999999999E-2</v>
      </c>
      <c r="C32" s="10">
        <f>ROUND($C$14*B32,2)</f>
        <v>141.87</v>
      </c>
      <c r="E32" s="20"/>
    </row>
    <row r="33" spans="1:5">
      <c r="A33" s="17" t="s">
        <v>55</v>
      </c>
      <c r="B33" s="18">
        <v>6.4699999999999994E-2</v>
      </c>
      <c r="C33" s="10">
        <f t="shared" si="1"/>
        <v>110.19</v>
      </c>
      <c r="E33" s="21"/>
    </row>
    <row r="34" spans="1:5">
      <c r="A34" s="17" t="s">
        <v>56</v>
      </c>
      <c r="B34" s="18">
        <v>2.9999999999999997E-4</v>
      </c>
      <c r="C34" s="10">
        <f t="shared" si="1"/>
        <v>0.51</v>
      </c>
    </row>
    <row r="35" spans="1:5">
      <c r="A35" s="17" t="s">
        <v>57</v>
      </c>
      <c r="B35" s="18">
        <v>6.7000000000000002E-3</v>
      </c>
      <c r="C35" s="10">
        <f t="shared" si="1"/>
        <v>11.41</v>
      </c>
    </row>
    <row r="36" spans="1:5">
      <c r="A36" s="17" t="s">
        <v>58</v>
      </c>
      <c r="B36" s="18">
        <v>5.9999999999999995E-4</v>
      </c>
      <c r="C36" s="10">
        <f>ROUND($C$14*B36,2)</f>
        <v>1.02</v>
      </c>
      <c r="E36" s="22"/>
    </row>
    <row r="37" spans="1:5">
      <c r="A37" s="17" t="s">
        <v>59</v>
      </c>
      <c r="B37" s="18">
        <v>8.0000000000000004E-4</v>
      </c>
      <c r="C37" s="10">
        <f t="shared" si="1"/>
        <v>1.36</v>
      </c>
    </row>
    <row r="38" spans="1:5">
      <c r="A38" s="17" t="s">
        <v>60</v>
      </c>
      <c r="B38" s="18">
        <v>5.5999999999999999E-3</v>
      </c>
      <c r="C38" s="10">
        <f>ROUND($C$14*B38,2)</f>
        <v>9.5399999999999991</v>
      </c>
      <c r="E38" s="21"/>
    </row>
    <row r="39" spans="1:5">
      <c r="A39" s="17" t="s">
        <v>38</v>
      </c>
      <c r="B39" s="18">
        <v>0</v>
      </c>
      <c r="C39" s="10">
        <f t="shared" si="1"/>
        <v>0</v>
      </c>
    </row>
    <row r="40" spans="1:5" s="7" customFormat="1">
      <c r="A40" s="14" t="s">
        <v>14</v>
      </c>
      <c r="B40" s="19">
        <f>SUM(B30:B39)</f>
        <v>0.16199999999999998</v>
      </c>
      <c r="C40" s="16">
        <f>SUM(C30:C39)</f>
        <v>275.90000000000003</v>
      </c>
    </row>
    <row r="41" spans="1:5" s="2" customFormat="1" ht="8.25">
      <c r="A41" s="13"/>
    </row>
    <row r="42" spans="1:5" s="7" customFormat="1" ht="12.75" customHeight="1">
      <c r="A42" s="14" t="s">
        <v>15</v>
      </c>
      <c r="B42" s="15"/>
      <c r="C42" s="15"/>
    </row>
    <row r="43" spans="1:5">
      <c r="A43" s="17" t="s">
        <v>61</v>
      </c>
      <c r="B43" s="18">
        <v>8.9999999999999998E-4</v>
      </c>
      <c r="C43" s="10">
        <f>ROUND($C$14*B43,2)</f>
        <v>1.53</v>
      </c>
      <c r="E43" s="40"/>
    </row>
    <row r="44" spans="1:5">
      <c r="A44" s="17" t="s">
        <v>62</v>
      </c>
      <c r="B44" s="18">
        <v>4.0300000000000002E-2</v>
      </c>
      <c r="C44" s="10">
        <f>ROUND($C$14*B44,2)</f>
        <v>68.63</v>
      </c>
    </row>
    <row r="45" spans="1:5">
      <c r="A45" s="17" t="s">
        <v>63</v>
      </c>
      <c r="B45" s="18">
        <v>4.07E-2</v>
      </c>
      <c r="C45" s="10">
        <f>ROUND($C$14*B45,2)</f>
        <v>69.319999999999993</v>
      </c>
    </row>
    <row r="46" spans="1:5">
      <c r="A46" s="17" t="s">
        <v>64</v>
      </c>
      <c r="B46" s="18">
        <v>3.0200000000000001E-2</v>
      </c>
      <c r="C46" s="10">
        <f>ROUND($C$14*B46,2)</f>
        <v>51.43</v>
      </c>
    </row>
    <row r="47" spans="1:5">
      <c r="A47" s="17" t="s">
        <v>65</v>
      </c>
      <c r="B47" s="18">
        <v>3.3999999999999998E-3</v>
      </c>
      <c r="C47" s="10">
        <f>ROUND($C$14*B47,2)</f>
        <v>5.79</v>
      </c>
    </row>
    <row r="48" spans="1:5" s="7" customFormat="1">
      <c r="A48" s="14" t="s">
        <v>44</v>
      </c>
      <c r="B48" s="19">
        <f>SUM(B43:B47)</f>
        <v>0.11550000000000001</v>
      </c>
      <c r="C48" s="16">
        <f>SUM(C43:C47)</f>
        <v>196.7</v>
      </c>
    </row>
    <row r="49" spans="1:6" s="2" customFormat="1" ht="8.25">
      <c r="A49" s="13"/>
    </row>
    <row r="50" spans="1:6" s="7" customFormat="1">
      <c r="A50" s="14" t="s">
        <v>40</v>
      </c>
      <c r="B50" s="19"/>
      <c r="C50" s="16"/>
    </row>
    <row r="51" spans="1:6">
      <c r="A51" s="17" t="s">
        <v>41</v>
      </c>
      <c r="B51" s="18">
        <v>5.96E-2</v>
      </c>
      <c r="C51" s="10">
        <f>ROUND($C$14*B51,2)</f>
        <v>101.5</v>
      </c>
    </row>
    <row r="52" spans="1:6" ht="25.5">
      <c r="A52" s="17" t="s">
        <v>47</v>
      </c>
      <c r="B52" s="18">
        <v>3.5999999999999999E-3</v>
      </c>
      <c r="C52" s="10">
        <f>ROUND($C$14*B52,2)</f>
        <v>6.13</v>
      </c>
    </row>
    <row r="53" spans="1:6" s="7" customFormat="1">
      <c r="A53" s="14" t="s">
        <v>43</v>
      </c>
      <c r="B53" s="19">
        <f>SUM(B51:B52)</f>
        <v>6.3200000000000006E-2</v>
      </c>
      <c r="C53" s="16">
        <f>SUM(C51:C52)</f>
        <v>107.63</v>
      </c>
    </row>
    <row r="54" spans="1:6" s="7" customFormat="1">
      <c r="A54" s="14" t="s">
        <v>16</v>
      </c>
      <c r="B54" s="19">
        <f>B27+B40+B48+B53</f>
        <v>0.70870000000000011</v>
      </c>
      <c r="C54" s="16">
        <f>C27+C40+C48+C53</f>
        <v>1206.98</v>
      </c>
    </row>
    <row r="55" spans="1:6" s="2" customFormat="1" ht="8.25">
      <c r="A55" s="13"/>
    </row>
    <row r="56" spans="1:6" s="7" customFormat="1">
      <c r="A56" s="14" t="s">
        <v>17</v>
      </c>
      <c r="B56" s="15"/>
      <c r="C56" s="15"/>
    </row>
    <row r="57" spans="1:6">
      <c r="A57" s="17" t="s">
        <v>176</v>
      </c>
      <c r="B57" s="18">
        <f>ROUND(C57/$C$14,4)</f>
        <v>0.25380000000000003</v>
      </c>
      <c r="C57" s="10">
        <v>432.19</v>
      </c>
      <c r="D57" s="3">
        <f>C57/E57</f>
        <v>19.645</v>
      </c>
      <c r="E57" s="3">
        <v>22</v>
      </c>
      <c r="F57" s="3">
        <f>D57*E57</f>
        <v>432.19</v>
      </c>
    </row>
    <row r="58" spans="1:6">
      <c r="A58" s="17" t="s">
        <v>161</v>
      </c>
      <c r="B58" s="18">
        <f>ROUND(C58/$C$14,4)</f>
        <v>2.5700000000000001E-2</v>
      </c>
      <c r="C58" s="10">
        <f>E58</f>
        <v>43.76</v>
      </c>
      <c r="D58" s="41">
        <v>175.02</v>
      </c>
      <c r="E58" s="3">
        <f>ROUND(D58*3/12,2)</f>
        <v>43.76</v>
      </c>
    </row>
    <row r="59" spans="1:6">
      <c r="A59" s="17" t="s">
        <v>132</v>
      </c>
      <c r="B59" s="18">
        <f>ROUND(C59/$C$14,4)</f>
        <v>0.1033</v>
      </c>
      <c r="C59" s="10">
        <f>ROUND(D59*E59*F59,2)</f>
        <v>176</v>
      </c>
      <c r="D59" s="3">
        <v>4</v>
      </c>
      <c r="E59" s="38">
        <f>E57</f>
        <v>22</v>
      </c>
      <c r="F59" s="3">
        <v>2</v>
      </c>
    </row>
    <row r="60" spans="1:6">
      <c r="A60" s="17" t="s">
        <v>109</v>
      </c>
      <c r="B60" s="18">
        <f>-6%</f>
        <v>-0.06</v>
      </c>
      <c r="C60" s="107">
        <f>ROUND($C$14*B60,2)</f>
        <v>-102.19</v>
      </c>
    </row>
    <row r="61" spans="1:6">
      <c r="A61" s="17" t="s">
        <v>124</v>
      </c>
      <c r="B61" s="18">
        <f>ROUND(C61/$C$14,4)</f>
        <v>8.0000000000000002E-3</v>
      </c>
      <c r="C61" s="10">
        <f>ROUND(D61*E61,2)</f>
        <v>13.56</v>
      </c>
      <c r="D61" s="3">
        <f>ROUND(220/12,2)</f>
        <v>18.329999999999998</v>
      </c>
      <c r="E61" s="3">
        <v>0.74</v>
      </c>
    </row>
    <row r="62" spans="1:6">
      <c r="A62" s="17" t="s">
        <v>125</v>
      </c>
      <c r="B62" s="18">
        <f>ROUND(C62/$C$14,4)</f>
        <v>1.17E-2</v>
      </c>
      <c r="C62" s="10">
        <f>ROUND(D62*E62,2)</f>
        <v>19.98</v>
      </c>
      <c r="D62" s="3">
        <f>ROUND(220/12,2)</f>
        <v>18.329999999999998</v>
      </c>
      <c r="E62" s="3">
        <v>1.0900000000000001</v>
      </c>
    </row>
    <row r="63" spans="1:6">
      <c r="A63" s="17" t="s">
        <v>154</v>
      </c>
      <c r="B63" s="18">
        <f>ROUND(C63/$C$14,4)</f>
        <v>6.8999999999999999E-3</v>
      </c>
      <c r="C63" s="10">
        <v>11.8</v>
      </c>
    </row>
    <row r="64" spans="1:6">
      <c r="A64" s="17" t="s">
        <v>111</v>
      </c>
      <c r="B64" s="18">
        <v>0</v>
      </c>
      <c r="C64" s="10">
        <f>ROUND($C$14*B64,2)</f>
        <v>0</v>
      </c>
    </row>
    <row r="65" spans="1:5">
      <c r="A65" s="14" t="s">
        <v>18</v>
      </c>
      <c r="B65" s="18">
        <f>SUM(B57:B64)</f>
        <v>0.34940000000000004</v>
      </c>
      <c r="C65" s="16">
        <f>SUM(C57:C64)</f>
        <v>595.09999999999991</v>
      </c>
    </row>
    <row r="66" spans="1:5" s="2" customFormat="1" ht="8.25">
      <c r="A66" s="13"/>
    </row>
    <row r="67" spans="1:5" s="7" customFormat="1">
      <c r="A67" s="14" t="s">
        <v>19</v>
      </c>
      <c r="B67" s="15"/>
      <c r="C67" s="16">
        <f>C14+C54+C65</f>
        <v>3505.18</v>
      </c>
    </row>
    <row r="68" spans="1:5" s="2" customFormat="1" ht="8.25">
      <c r="A68" s="13"/>
    </row>
    <row r="69" spans="1:5" s="7" customFormat="1">
      <c r="A69" s="14" t="s">
        <v>20</v>
      </c>
      <c r="B69" s="15"/>
      <c r="C69" s="15"/>
    </row>
    <row r="70" spans="1:5">
      <c r="A70" s="17" t="s">
        <v>48</v>
      </c>
      <c r="B70" s="18">
        <v>0.1</v>
      </c>
      <c r="C70" s="10">
        <f>ROUND(($C$14+$C$65)*B70,2)</f>
        <v>229.82</v>
      </c>
    </row>
    <row r="71" spans="1:5">
      <c r="A71" s="17" t="s">
        <v>49</v>
      </c>
      <c r="B71" s="18">
        <v>0.05</v>
      </c>
      <c r="C71" s="10">
        <f>ROUND(($C$14+$C$65)*B71,2)</f>
        <v>114.91</v>
      </c>
    </row>
    <row r="72" spans="1:5">
      <c r="A72" s="14" t="s">
        <v>21</v>
      </c>
      <c r="B72" s="19">
        <f>SUM(B70:B71)</f>
        <v>0.15000000000000002</v>
      </c>
      <c r="C72" s="16">
        <f>SUM(C70:C71)</f>
        <v>344.73</v>
      </c>
    </row>
    <row r="73" spans="1:5" s="2" customFormat="1" ht="8.25">
      <c r="A73" s="13"/>
    </row>
    <row r="74" spans="1:5" s="7" customFormat="1">
      <c r="A74" s="14" t="s">
        <v>22</v>
      </c>
      <c r="B74" s="15"/>
      <c r="C74" s="15"/>
    </row>
    <row r="75" spans="1:5">
      <c r="A75" s="8" t="s">
        <v>23</v>
      </c>
      <c r="B75" s="18">
        <v>0.03</v>
      </c>
      <c r="C75" s="10">
        <f>ROUND(((($C$67+$C$72)/(1-($B$78)))-($C$67+$C$72))*(B75/$B$78),2)</f>
        <v>123.73</v>
      </c>
      <c r="D75" s="23"/>
    </row>
    <row r="76" spans="1:5">
      <c r="A76" s="8" t="s">
        <v>24</v>
      </c>
      <c r="B76" s="18">
        <v>0.03</v>
      </c>
      <c r="C76" s="10">
        <f>ROUND(((($C$67+$C$72)/(1-($B$78)))-($C$67+$C$72))*(B76/$B$78),2)</f>
        <v>123.73</v>
      </c>
    </row>
    <row r="77" spans="1:5">
      <c r="A77" s="8" t="s">
        <v>25</v>
      </c>
      <c r="B77" s="18">
        <v>6.4999999999999997E-3</v>
      </c>
      <c r="C77" s="10">
        <f>ROUND(((($C$67+$C$72)/(1-($B$78)))-($C$67+$C$72))*(B77/$B$78),2)</f>
        <v>26.81</v>
      </c>
    </row>
    <row r="78" spans="1:5" s="7" customFormat="1">
      <c r="A78" s="14" t="s">
        <v>26</v>
      </c>
      <c r="B78" s="19">
        <f>SUM(B75:B77)</f>
        <v>6.6500000000000004E-2</v>
      </c>
      <c r="C78" s="16">
        <f>SUM(C75:C77)</f>
        <v>274.27</v>
      </c>
    </row>
    <row r="79" spans="1:5" s="2" customFormat="1">
      <c r="A79" s="13"/>
      <c r="D79" s="7"/>
      <c r="E79" s="7"/>
    </row>
    <row r="80" spans="1:5" s="7" customFormat="1">
      <c r="A80" s="14" t="s">
        <v>89</v>
      </c>
      <c r="B80" s="15"/>
      <c r="C80" s="16">
        <f>C67+C72+C78</f>
        <v>4124.18</v>
      </c>
    </row>
    <row r="81" spans="1:5" s="27" customFormat="1" ht="7.5" customHeight="1">
      <c r="A81" s="24"/>
      <c r="B81" s="25"/>
      <c r="C81" s="26"/>
      <c r="D81" s="7"/>
      <c r="E81" s="7"/>
    </row>
    <row r="82" spans="1:5" s="7" customFormat="1" ht="8.25" customHeight="1">
      <c r="A82" s="35"/>
      <c r="B82" s="36"/>
      <c r="C82" s="37"/>
    </row>
    <row r="83" spans="1:5" s="7" customFormat="1">
      <c r="A83" s="108" t="s">
        <v>156</v>
      </c>
      <c r="B83" s="108"/>
      <c r="C83" s="16">
        <v>20.84</v>
      </c>
    </row>
    <row r="84" spans="1:5">
      <c r="A84" s="160"/>
      <c r="B84" s="160"/>
      <c r="C84" s="160"/>
    </row>
  </sheetData>
  <sheetProtection selectLockedCells="1" selectUnlockedCells="1"/>
  <mergeCells count="5">
    <mergeCell ref="A84:C84"/>
    <mergeCell ref="A2:C2"/>
    <mergeCell ref="A3:C3"/>
    <mergeCell ref="A5:C5"/>
    <mergeCell ref="A6:C6"/>
  </mergeCells>
  <phoneticPr fontId="0" type="noConversion"/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5" zoomScaleSheetLayoutView="100" workbookViewId="0">
      <selection activeCell="E79" sqref="E79"/>
    </sheetView>
  </sheetViews>
  <sheetFormatPr defaultRowHeight="12.75"/>
  <cols>
    <col min="1" max="1" width="85.42578125" style="3" customWidth="1"/>
    <col min="2" max="2" width="10" style="3" customWidth="1"/>
    <col min="3" max="3" width="11.5703125" style="3" bestFit="1" customWidth="1"/>
    <col min="4" max="4" width="9.140625" style="3"/>
    <col min="5" max="5" width="16.85546875" style="3" bestFit="1" customWidth="1"/>
    <col min="6" max="6" width="7.7109375" style="3" customWidth="1"/>
    <col min="7" max="16384" width="9.140625" style="3"/>
  </cols>
  <sheetData>
    <row r="1" spans="1:6" s="2" customFormat="1">
      <c r="A1" s="110"/>
      <c r="B1" s="110"/>
      <c r="C1" s="110"/>
      <c r="E1" s="3"/>
      <c r="F1" s="3"/>
    </row>
    <row r="2" spans="1:6" s="2" customFormat="1" ht="18.75">
      <c r="A2" s="161" t="s">
        <v>46</v>
      </c>
      <c r="B2" s="161"/>
      <c r="C2" s="161"/>
      <c r="E2" s="3"/>
      <c r="F2" s="3"/>
    </row>
    <row r="3" spans="1:6" s="2" customFormat="1" ht="18.75">
      <c r="A3" s="161" t="s">
        <v>67</v>
      </c>
      <c r="B3" s="161"/>
      <c r="C3" s="161"/>
      <c r="E3" s="3"/>
      <c r="F3" s="3"/>
    </row>
    <row r="4" spans="1:6" s="2" customFormat="1" ht="8.25">
      <c r="A4" s="111"/>
      <c r="B4" s="111"/>
      <c r="C4" s="111"/>
    </row>
    <row r="5" spans="1:6">
      <c r="A5" s="160" t="s">
        <v>52</v>
      </c>
      <c r="B5" s="160"/>
      <c r="C5" s="160"/>
    </row>
    <row r="6" spans="1:6">
      <c r="A6" s="160" t="s">
        <v>168</v>
      </c>
      <c r="B6" s="160"/>
      <c r="C6" s="160"/>
    </row>
    <row r="7" spans="1:6" s="2" customFormat="1" ht="8.25"/>
    <row r="8" spans="1:6" s="7" customFormat="1">
      <c r="A8" s="5" t="s">
        <v>2</v>
      </c>
      <c r="B8" s="6"/>
      <c r="C8" s="6"/>
    </row>
    <row r="9" spans="1:6" s="11" customFormat="1">
      <c r="A9" s="17" t="s">
        <v>172</v>
      </c>
      <c r="B9" s="9"/>
      <c r="C9" s="10">
        <v>1291.03</v>
      </c>
      <c r="E9" s="12"/>
    </row>
    <row r="10" spans="1:6" s="2" customFormat="1" ht="8.25">
      <c r="A10" s="13"/>
    </row>
    <row r="11" spans="1:6" s="7" customFormat="1">
      <c r="A11" s="14" t="s">
        <v>3</v>
      </c>
      <c r="B11" s="15"/>
      <c r="C11" s="15"/>
    </row>
    <row r="12" spans="1:6" s="7" customFormat="1">
      <c r="A12" s="14" t="s">
        <v>4</v>
      </c>
      <c r="B12" s="15"/>
      <c r="C12" s="15"/>
    </row>
    <row r="13" spans="1:6">
      <c r="A13" s="8" t="s">
        <v>5</v>
      </c>
      <c r="B13" s="9"/>
      <c r="C13" s="10">
        <f>C9</f>
        <v>1291.03</v>
      </c>
    </row>
    <row r="14" spans="1:6" s="7" customFormat="1">
      <c r="A14" s="14" t="s">
        <v>6</v>
      </c>
      <c r="B14" s="15"/>
      <c r="C14" s="16">
        <f>C13</f>
        <v>1291.03</v>
      </c>
    </row>
    <row r="15" spans="1:6" s="2" customFormat="1" ht="8.25">
      <c r="A15" s="13"/>
    </row>
    <row r="16" spans="1:6" s="7" customFormat="1">
      <c r="A16" s="14" t="s">
        <v>7</v>
      </c>
      <c r="B16" s="15"/>
      <c r="C16" s="15"/>
    </row>
    <row r="17" spans="1:5" s="7" customFormat="1">
      <c r="A17" s="14" t="s">
        <v>8</v>
      </c>
      <c r="B17" s="15"/>
      <c r="C17" s="15"/>
    </row>
    <row r="18" spans="1:5">
      <c r="A18" s="17" t="s">
        <v>45</v>
      </c>
      <c r="B18" s="18">
        <v>0.2</v>
      </c>
      <c r="C18" s="10">
        <f t="shared" ref="C18:C26" si="0">ROUND($C$14*B18,2)</f>
        <v>258.20999999999998</v>
      </c>
    </row>
    <row r="19" spans="1:5">
      <c r="A19" s="8" t="s">
        <v>9</v>
      </c>
      <c r="B19" s="18">
        <v>0.08</v>
      </c>
      <c r="C19" s="10">
        <f t="shared" si="0"/>
        <v>103.28</v>
      </c>
    </row>
    <row r="20" spans="1:5">
      <c r="A20" s="17" t="s">
        <v>34</v>
      </c>
      <c r="B20" s="18">
        <v>1.4999999999999999E-2</v>
      </c>
      <c r="C20" s="10">
        <f t="shared" si="0"/>
        <v>19.37</v>
      </c>
    </row>
    <row r="21" spans="1:5">
      <c r="A21" s="17" t="s">
        <v>35</v>
      </c>
      <c r="B21" s="18">
        <v>0.01</v>
      </c>
      <c r="C21" s="10">
        <f t="shared" si="0"/>
        <v>12.91</v>
      </c>
    </row>
    <row r="22" spans="1:5">
      <c r="A22" s="17" t="s">
        <v>36</v>
      </c>
      <c r="B22" s="18">
        <v>2E-3</v>
      </c>
      <c r="C22" s="10">
        <f t="shared" si="0"/>
        <v>2.58</v>
      </c>
    </row>
    <row r="23" spans="1:5">
      <c r="A23" s="17" t="s">
        <v>37</v>
      </c>
      <c r="B23" s="18">
        <v>6.0000000000000001E-3</v>
      </c>
      <c r="C23" s="10">
        <f t="shared" si="0"/>
        <v>7.75</v>
      </c>
    </row>
    <row r="24" spans="1:5">
      <c r="A24" s="17" t="s">
        <v>39</v>
      </c>
      <c r="B24" s="18">
        <v>0</v>
      </c>
      <c r="C24" s="10">
        <f>ROUND($C$14*B24,2)</f>
        <v>0</v>
      </c>
    </row>
    <row r="25" spans="1:5">
      <c r="A25" s="8" t="s">
        <v>10</v>
      </c>
      <c r="B25" s="18">
        <v>2.5000000000000001E-2</v>
      </c>
      <c r="C25" s="10">
        <f t="shared" si="0"/>
        <v>32.28</v>
      </c>
    </row>
    <row r="26" spans="1:5" ht="25.5">
      <c r="A26" s="8" t="s">
        <v>11</v>
      </c>
      <c r="B26" s="18">
        <v>0.03</v>
      </c>
      <c r="C26" s="10">
        <f t="shared" si="0"/>
        <v>38.729999999999997</v>
      </c>
    </row>
    <row r="27" spans="1:5" s="7" customFormat="1">
      <c r="A27" s="14" t="s">
        <v>12</v>
      </c>
      <c r="B27" s="19">
        <f>SUM(B18:B26)</f>
        <v>0.3680000000000001</v>
      </c>
      <c r="C27" s="16">
        <f>SUM(C18:C26)</f>
        <v>475.11</v>
      </c>
    </row>
    <row r="28" spans="1:5" s="2" customFormat="1" ht="8.25">
      <c r="A28" s="13"/>
    </row>
    <row r="29" spans="1:5" s="7" customFormat="1">
      <c r="A29" s="14" t="s">
        <v>13</v>
      </c>
      <c r="B29" s="15"/>
      <c r="C29" s="15"/>
    </row>
    <row r="30" spans="1:5">
      <c r="A30" s="17" t="s">
        <v>32</v>
      </c>
      <c r="B30" s="18">
        <v>0</v>
      </c>
      <c r="C30" s="10">
        <f t="shared" ref="C30:C39" si="1">ROUND($C$14*B30,2)</f>
        <v>0</v>
      </c>
    </row>
    <row r="31" spans="1:5">
      <c r="A31" s="17" t="s">
        <v>33</v>
      </c>
      <c r="B31" s="18">
        <v>0</v>
      </c>
      <c r="C31" s="10">
        <f>ROUND($C$14*B31,2)</f>
        <v>0</v>
      </c>
    </row>
    <row r="32" spans="1:5">
      <c r="A32" s="17" t="s">
        <v>54</v>
      </c>
      <c r="B32" s="18">
        <v>8.3299999999999999E-2</v>
      </c>
      <c r="C32" s="10">
        <f>ROUND($C$14*B32,2)</f>
        <v>107.54</v>
      </c>
      <c r="E32" s="20"/>
    </row>
    <row r="33" spans="1:5">
      <c r="A33" s="17" t="s">
        <v>55</v>
      </c>
      <c r="B33" s="18">
        <v>6.4699999999999994E-2</v>
      </c>
      <c r="C33" s="10">
        <f t="shared" si="1"/>
        <v>83.53</v>
      </c>
      <c r="E33" s="21"/>
    </row>
    <row r="34" spans="1:5">
      <c r="A34" s="17" t="s">
        <v>56</v>
      </c>
      <c r="B34" s="18">
        <v>2.9999999999999997E-4</v>
      </c>
      <c r="C34" s="10">
        <f t="shared" si="1"/>
        <v>0.39</v>
      </c>
    </row>
    <row r="35" spans="1:5">
      <c r="A35" s="17" t="s">
        <v>57</v>
      </c>
      <c r="B35" s="18">
        <v>6.7000000000000002E-3</v>
      </c>
      <c r="C35" s="10">
        <f t="shared" si="1"/>
        <v>8.65</v>
      </c>
    </row>
    <row r="36" spans="1:5">
      <c r="A36" s="17" t="s">
        <v>58</v>
      </c>
      <c r="B36" s="18">
        <v>5.9999999999999995E-4</v>
      </c>
      <c r="C36" s="10">
        <f>ROUND($C$14*B36,2)</f>
        <v>0.77</v>
      </c>
      <c r="E36" s="22"/>
    </row>
    <row r="37" spans="1:5">
      <c r="A37" s="17" t="s">
        <v>59</v>
      </c>
      <c r="B37" s="18">
        <v>8.0000000000000004E-4</v>
      </c>
      <c r="C37" s="10">
        <f t="shared" si="1"/>
        <v>1.03</v>
      </c>
    </row>
    <row r="38" spans="1:5">
      <c r="A38" s="17" t="s">
        <v>60</v>
      </c>
      <c r="B38" s="18">
        <v>5.5999999999999999E-3</v>
      </c>
      <c r="C38" s="10">
        <f>ROUND($C$14*B38,2)</f>
        <v>7.23</v>
      </c>
      <c r="E38" s="21"/>
    </row>
    <row r="39" spans="1:5">
      <c r="A39" s="17" t="s">
        <v>38</v>
      </c>
      <c r="B39" s="18">
        <v>0</v>
      </c>
      <c r="C39" s="10">
        <f t="shared" si="1"/>
        <v>0</v>
      </c>
    </row>
    <row r="40" spans="1:5" s="7" customFormat="1">
      <c r="A40" s="14" t="s">
        <v>14</v>
      </c>
      <c r="B40" s="19">
        <f>SUM(B30:B39)</f>
        <v>0.16199999999999998</v>
      </c>
      <c r="C40" s="16">
        <f>SUM(C30:C39)</f>
        <v>209.14</v>
      </c>
    </row>
    <row r="41" spans="1:5" s="2" customFormat="1" ht="8.25">
      <c r="A41" s="13"/>
    </row>
    <row r="42" spans="1:5" s="7" customFormat="1" ht="12.75" customHeight="1">
      <c r="A42" s="14" t="s">
        <v>15</v>
      </c>
      <c r="B42" s="15"/>
      <c r="C42" s="15"/>
    </row>
    <row r="43" spans="1:5">
      <c r="A43" s="17" t="s">
        <v>61</v>
      </c>
      <c r="B43" s="18">
        <v>8.9999999999999998E-4</v>
      </c>
      <c r="C43" s="10">
        <f>ROUND($C$14*B43,2)</f>
        <v>1.1599999999999999</v>
      </c>
      <c r="E43" s="40"/>
    </row>
    <row r="44" spans="1:5">
      <c r="A44" s="17" t="s">
        <v>62</v>
      </c>
      <c r="B44" s="18">
        <v>4.0300000000000002E-2</v>
      </c>
      <c r="C44" s="10">
        <f>ROUND($C$14*B44,2)</f>
        <v>52.03</v>
      </c>
    </row>
    <row r="45" spans="1:5">
      <c r="A45" s="17" t="s">
        <v>63</v>
      </c>
      <c r="B45" s="18">
        <v>4.07E-2</v>
      </c>
      <c r="C45" s="10">
        <f>ROUND($C$14*B45,2)</f>
        <v>52.54</v>
      </c>
    </row>
    <row r="46" spans="1:5">
      <c r="A46" s="17" t="s">
        <v>64</v>
      </c>
      <c r="B46" s="18">
        <v>3.0200000000000001E-2</v>
      </c>
      <c r="C46" s="10">
        <f>ROUND($C$14*B46,2)</f>
        <v>38.99</v>
      </c>
    </row>
    <row r="47" spans="1:5">
      <c r="A47" s="17" t="s">
        <v>65</v>
      </c>
      <c r="B47" s="18">
        <v>3.3999999999999998E-3</v>
      </c>
      <c r="C47" s="10">
        <f>ROUND($C$14*B47,2)</f>
        <v>4.3899999999999997</v>
      </c>
    </row>
    <row r="48" spans="1:5" s="7" customFormat="1">
      <c r="A48" s="14" t="s">
        <v>44</v>
      </c>
      <c r="B48" s="19">
        <f>SUM(B43:B47)</f>
        <v>0.11550000000000001</v>
      </c>
      <c r="C48" s="16">
        <f>SUM(C43:C47)</f>
        <v>149.10999999999999</v>
      </c>
    </row>
    <row r="49" spans="1:6" s="2" customFormat="1" ht="8.25">
      <c r="A49" s="13"/>
    </row>
    <row r="50" spans="1:6" s="7" customFormat="1">
      <c r="A50" s="14" t="s">
        <v>40</v>
      </c>
      <c r="B50" s="19"/>
      <c r="C50" s="16"/>
    </row>
    <row r="51" spans="1:6">
      <c r="A51" s="17" t="s">
        <v>41</v>
      </c>
      <c r="B51" s="18">
        <v>5.96E-2</v>
      </c>
      <c r="C51" s="10">
        <f>ROUND($C$14*B51,2)</f>
        <v>76.95</v>
      </c>
    </row>
    <row r="52" spans="1:6" ht="25.5">
      <c r="A52" s="17" t="s">
        <v>47</v>
      </c>
      <c r="B52" s="18">
        <v>3.5999999999999999E-3</v>
      </c>
      <c r="C52" s="10">
        <f>ROUND($C$14*B52,2)</f>
        <v>4.6500000000000004</v>
      </c>
    </row>
    <row r="53" spans="1:6" s="7" customFormat="1">
      <c r="A53" s="14" t="s">
        <v>43</v>
      </c>
      <c r="B53" s="19">
        <f>SUM(B51:B52)</f>
        <v>6.3200000000000006E-2</v>
      </c>
      <c r="C53" s="16">
        <f>SUM(C51:C52)</f>
        <v>81.600000000000009</v>
      </c>
    </row>
    <row r="54" spans="1:6" s="7" customFormat="1">
      <c r="A54" s="14" t="s">
        <v>16</v>
      </c>
      <c r="B54" s="19">
        <f>B27+B40+B48+B53</f>
        <v>0.70870000000000011</v>
      </c>
      <c r="C54" s="16">
        <f>C27+C40+C48+C53</f>
        <v>914.96</v>
      </c>
    </row>
    <row r="55" spans="1:6" s="2" customFormat="1" ht="8.25">
      <c r="A55" s="13"/>
    </row>
    <row r="56" spans="1:6" s="7" customFormat="1">
      <c r="A56" s="14" t="s">
        <v>17</v>
      </c>
      <c r="B56" s="15"/>
      <c r="C56" s="15"/>
    </row>
    <row r="57" spans="1:6">
      <c r="A57" s="17" t="s">
        <v>176</v>
      </c>
      <c r="B57" s="18">
        <f>ROUND(C57/$C$14,4)</f>
        <v>0.33479999999999999</v>
      </c>
      <c r="C57" s="10">
        <v>432.19</v>
      </c>
      <c r="D57" s="3">
        <f>C57/E57</f>
        <v>19.645</v>
      </c>
      <c r="E57" s="3">
        <v>22</v>
      </c>
      <c r="F57" s="3">
        <f>D57*E57</f>
        <v>432.19</v>
      </c>
    </row>
    <row r="58" spans="1:6">
      <c r="A58" s="17" t="s">
        <v>161</v>
      </c>
      <c r="B58" s="18">
        <f>ROUND(C58/$C$14,4)</f>
        <v>3.39E-2</v>
      </c>
      <c r="C58" s="10">
        <f>E58</f>
        <v>43.76</v>
      </c>
      <c r="D58" s="41">
        <v>175.02</v>
      </c>
      <c r="E58" s="3">
        <f>ROUND(D58*3/12,2)</f>
        <v>43.76</v>
      </c>
    </row>
    <row r="59" spans="1:6">
      <c r="A59" s="17" t="s">
        <v>132</v>
      </c>
      <c r="B59" s="18">
        <f>ROUND(C59/$C$14,4)</f>
        <v>0.1363</v>
      </c>
      <c r="C59" s="10">
        <f>ROUND(D59*E59*F59,2)</f>
        <v>176</v>
      </c>
      <c r="D59" s="3">
        <v>4</v>
      </c>
      <c r="E59" s="38">
        <f>E57</f>
        <v>22</v>
      </c>
      <c r="F59" s="3">
        <v>2</v>
      </c>
    </row>
    <row r="60" spans="1:6">
      <c r="A60" s="17" t="s">
        <v>109</v>
      </c>
      <c r="B60" s="18">
        <f>-6%</f>
        <v>-0.06</v>
      </c>
      <c r="C60" s="107">
        <f>ROUND($C$14*B60,2)</f>
        <v>-77.459999999999994</v>
      </c>
    </row>
    <row r="61" spans="1:6">
      <c r="A61" s="17" t="s">
        <v>126</v>
      </c>
      <c r="B61" s="18">
        <f>ROUND(C61/$C$14,4)</f>
        <v>7.9000000000000008E-3</v>
      </c>
      <c r="C61" s="10">
        <f>ROUND(D61*E61,2)</f>
        <v>10.26</v>
      </c>
      <c r="D61" s="3">
        <f>ROUND(220/12,2)</f>
        <v>18.329999999999998</v>
      </c>
      <c r="E61" s="3">
        <v>0.56000000000000005</v>
      </c>
    </row>
    <row r="62" spans="1:6">
      <c r="A62" s="17" t="s">
        <v>127</v>
      </c>
      <c r="B62" s="18">
        <f>ROUND(C62/$C$14,4)</f>
        <v>1.6299999999999999E-2</v>
      </c>
      <c r="C62" s="10">
        <f>ROUND(D62*E62,2)</f>
        <v>21.08</v>
      </c>
      <c r="D62" s="3">
        <f>ROUND(220/12,2)</f>
        <v>18.329999999999998</v>
      </c>
      <c r="E62" s="3">
        <v>1.1499999999999999</v>
      </c>
    </row>
    <row r="63" spans="1:6">
      <c r="A63" s="17" t="s">
        <v>154</v>
      </c>
      <c r="B63" s="18">
        <f>ROUND(C63/$C$14,4)</f>
        <v>9.1000000000000004E-3</v>
      </c>
      <c r="C63" s="10">
        <v>11.8</v>
      </c>
    </row>
    <row r="64" spans="1:6">
      <c r="A64" s="17" t="s">
        <v>111</v>
      </c>
      <c r="B64" s="18">
        <v>0</v>
      </c>
      <c r="C64" s="10">
        <f>ROUND($C$14*B64,2)</f>
        <v>0</v>
      </c>
    </row>
    <row r="65" spans="1:4">
      <c r="A65" s="14" t="s">
        <v>18</v>
      </c>
      <c r="B65" s="18">
        <f>SUM(B57:B64)</f>
        <v>0.4783</v>
      </c>
      <c r="C65" s="16">
        <f>SUM(C57:C64)</f>
        <v>617.63</v>
      </c>
    </row>
    <row r="66" spans="1:4" s="2" customFormat="1" ht="8.25">
      <c r="A66" s="13"/>
    </row>
    <row r="67" spans="1:4" s="7" customFormat="1">
      <c r="A67" s="14" t="s">
        <v>19</v>
      </c>
      <c r="B67" s="15"/>
      <c r="C67" s="16">
        <f>C14+C54+C65</f>
        <v>2823.62</v>
      </c>
    </row>
    <row r="68" spans="1:4" s="2" customFormat="1" ht="8.25">
      <c r="A68" s="13"/>
    </row>
    <row r="69" spans="1:4" s="7" customFormat="1">
      <c r="A69" s="14" t="s">
        <v>20</v>
      </c>
      <c r="B69" s="15"/>
      <c r="C69" s="15"/>
    </row>
    <row r="70" spans="1:4">
      <c r="A70" s="17" t="s">
        <v>48</v>
      </c>
      <c r="B70" s="18">
        <v>0.1</v>
      </c>
      <c r="C70" s="10">
        <f>ROUND(($C$14+$C$65)*B70,2)</f>
        <v>190.87</v>
      </c>
    </row>
    <row r="71" spans="1:4">
      <c r="A71" s="17" t="s">
        <v>49</v>
      </c>
      <c r="B71" s="18">
        <v>0.05</v>
      </c>
      <c r="C71" s="10">
        <f>ROUND(($C$14+$C$65)*B71,2)</f>
        <v>95.43</v>
      </c>
    </row>
    <row r="72" spans="1:4">
      <c r="A72" s="14" t="s">
        <v>21</v>
      </c>
      <c r="B72" s="19">
        <f>SUM(B70:B71)</f>
        <v>0.15000000000000002</v>
      </c>
      <c r="C72" s="16">
        <f>SUM(C70:C71)</f>
        <v>286.3</v>
      </c>
    </row>
    <row r="73" spans="1:4" s="2" customFormat="1" ht="8.25">
      <c r="A73" s="13"/>
    </row>
    <row r="74" spans="1:4" s="7" customFormat="1">
      <c r="A74" s="14" t="s">
        <v>22</v>
      </c>
      <c r="B74" s="15"/>
      <c r="C74" s="15"/>
    </row>
    <row r="75" spans="1:4">
      <c r="A75" s="8" t="s">
        <v>23</v>
      </c>
      <c r="B75" s="18">
        <v>0.03</v>
      </c>
      <c r="C75" s="10">
        <f>ROUND(((($C$67+$C$72)/(1-($B$78)))-($C$67+$C$72))*(B75/$B$78),2)</f>
        <v>99.94</v>
      </c>
      <c r="D75" s="23"/>
    </row>
    <row r="76" spans="1:4">
      <c r="A76" s="8" t="s">
        <v>24</v>
      </c>
      <c r="B76" s="18">
        <v>0.03</v>
      </c>
      <c r="C76" s="10">
        <f>ROUND(((($C$67+$C$72)/(1-($B$78)))-($C$67+$C$72))*(B76/$B$78),2)</f>
        <v>99.94</v>
      </c>
    </row>
    <row r="77" spans="1:4">
      <c r="A77" s="8" t="s">
        <v>25</v>
      </c>
      <c r="B77" s="18">
        <v>6.4999999999999997E-3</v>
      </c>
      <c r="C77" s="10">
        <f>ROUND(((($C$67+$C$72)/(1-($B$78)))-($C$67+$C$72))*(B77/$B$78),2)</f>
        <v>21.65</v>
      </c>
    </row>
    <row r="78" spans="1:4" s="7" customFormat="1">
      <c r="A78" s="14" t="s">
        <v>26</v>
      </c>
      <c r="B78" s="19">
        <f>SUM(B75:B77)</f>
        <v>6.6500000000000004E-2</v>
      </c>
      <c r="C78" s="16">
        <f>SUM(C75:C77)</f>
        <v>221.53</v>
      </c>
    </row>
    <row r="79" spans="1:4" s="7" customFormat="1">
      <c r="A79" s="14"/>
      <c r="B79" s="19"/>
      <c r="C79" s="16"/>
    </row>
    <row r="80" spans="1:4" s="7" customFormat="1">
      <c r="A80" s="14" t="s">
        <v>90</v>
      </c>
      <c r="B80" s="15"/>
      <c r="C80" s="16">
        <f>C67+C72+C78</f>
        <v>3331.4500000000003</v>
      </c>
    </row>
    <row r="81" spans="1:5" s="27" customFormat="1" ht="7.5" customHeight="1">
      <c r="A81" s="24"/>
      <c r="B81" s="25"/>
      <c r="C81" s="26"/>
      <c r="D81" s="7"/>
      <c r="E81" s="7"/>
    </row>
    <row r="82" spans="1:5" s="7" customFormat="1" ht="8.25" customHeight="1">
      <c r="A82" s="35"/>
      <c r="B82" s="36"/>
      <c r="C82" s="37"/>
    </row>
    <row r="83" spans="1:5" s="7" customFormat="1">
      <c r="A83" s="108" t="s">
        <v>157</v>
      </c>
      <c r="B83" s="108"/>
      <c r="C83" s="16">
        <v>16.329999999999998</v>
      </c>
    </row>
    <row r="84" spans="1:5" s="2" customFormat="1" ht="8.25"/>
    <row r="85" spans="1:5" s="2" customFormat="1" ht="8.25"/>
    <row r="86" spans="1:5">
      <c r="A86" s="160"/>
      <c r="B86" s="160"/>
      <c r="C86" s="160"/>
    </row>
  </sheetData>
  <sheetProtection selectLockedCells="1" selectUnlockedCells="1"/>
  <mergeCells count="5">
    <mergeCell ref="A86:C86"/>
    <mergeCell ref="A2:C2"/>
    <mergeCell ref="A3:C3"/>
    <mergeCell ref="A5:C5"/>
    <mergeCell ref="A6:C6"/>
  </mergeCells>
  <phoneticPr fontId="0" type="noConversion"/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E80" sqref="E80"/>
    </sheetView>
  </sheetViews>
  <sheetFormatPr defaultRowHeight="12.75"/>
  <cols>
    <col min="1" max="1" width="85.42578125" style="3" customWidth="1"/>
    <col min="2" max="2" width="10" style="3" customWidth="1"/>
    <col min="3" max="3" width="11.5703125" style="3" bestFit="1" customWidth="1"/>
    <col min="4" max="4" width="9.140625" style="3"/>
    <col min="5" max="5" width="16.85546875" style="3" bestFit="1" customWidth="1"/>
    <col min="6" max="6" width="7.7109375" style="3" customWidth="1"/>
    <col min="7" max="16384" width="9.140625" style="3"/>
  </cols>
  <sheetData>
    <row r="1" spans="1:6" s="2" customFormat="1">
      <c r="A1" s="110"/>
      <c r="B1" s="110"/>
      <c r="C1" s="110"/>
      <c r="E1" s="3"/>
      <c r="F1" s="3"/>
    </row>
    <row r="2" spans="1:6" s="2" customFormat="1" ht="18.75">
      <c r="A2" s="161" t="s">
        <v>46</v>
      </c>
      <c r="B2" s="161"/>
      <c r="C2" s="161"/>
      <c r="E2" s="3"/>
      <c r="F2" s="3"/>
    </row>
    <row r="3" spans="1:6" s="2" customFormat="1" ht="18.75">
      <c r="A3" s="161" t="s">
        <v>68</v>
      </c>
      <c r="B3" s="161"/>
      <c r="C3" s="161"/>
      <c r="E3" s="3"/>
      <c r="F3" s="3"/>
    </row>
    <row r="4" spans="1:6" s="2" customFormat="1" ht="8.25">
      <c r="A4" s="111"/>
      <c r="B4" s="111"/>
      <c r="C4" s="111"/>
    </row>
    <row r="5" spans="1:6">
      <c r="A5" s="160" t="s">
        <v>52</v>
      </c>
      <c r="B5" s="160"/>
      <c r="C5" s="160"/>
    </row>
    <row r="6" spans="1:6">
      <c r="A6" s="160" t="s">
        <v>168</v>
      </c>
      <c r="B6" s="160"/>
      <c r="C6" s="160"/>
    </row>
    <row r="7" spans="1:6" s="2" customFormat="1" ht="8.25"/>
    <row r="8" spans="1:6" s="7" customFormat="1">
      <c r="A8" s="5" t="s">
        <v>2</v>
      </c>
      <c r="B8" s="6"/>
      <c r="C8" s="6"/>
    </row>
    <row r="9" spans="1:6" s="11" customFormat="1" ht="12.75" customHeight="1">
      <c r="A9" s="178" t="s">
        <v>173</v>
      </c>
      <c r="B9" s="179"/>
      <c r="C9" s="10">
        <v>2668.97</v>
      </c>
      <c r="E9" s="12"/>
    </row>
    <row r="10" spans="1:6" s="2" customFormat="1" ht="12.75" customHeight="1">
      <c r="A10" s="63" t="s">
        <v>163</v>
      </c>
      <c r="B10" s="62"/>
      <c r="C10" s="64">
        <f>ROUND(C9*0.2,2)</f>
        <v>533.79</v>
      </c>
    </row>
    <row r="11" spans="1:6" s="7" customFormat="1">
      <c r="A11" s="60" t="s">
        <v>3</v>
      </c>
      <c r="B11" s="61"/>
      <c r="C11" s="61"/>
    </row>
    <row r="12" spans="1:6" s="7" customFormat="1">
      <c r="A12" s="14" t="s">
        <v>4</v>
      </c>
      <c r="B12" s="15"/>
      <c r="C12" s="15"/>
    </row>
    <row r="13" spans="1:6">
      <c r="A13" s="8" t="s">
        <v>5</v>
      </c>
      <c r="B13" s="9"/>
      <c r="C13" s="10">
        <f>C9+C10</f>
        <v>3202.7599999999998</v>
      </c>
    </row>
    <row r="14" spans="1:6" s="7" customFormat="1">
      <c r="A14" s="14" t="s">
        <v>6</v>
      </c>
      <c r="B14" s="15"/>
      <c r="C14" s="16">
        <f>C13</f>
        <v>3202.7599999999998</v>
      </c>
    </row>
    <row r="15" spans="1:6" s="2" customFormat="1" ht="8.25">
      <c r="A15" s="13"/>
    </row>
    <row r="16" spans="1:6" s="7" customFormat="1">
      <c r="A16" s="14" t="s">
        <v>7</v>
      </c>
      <c r="B16" s="15"/>
      <c r="C16" s="15"/>
    </row>
    <row r="17" spans="1:5" s="7" customFormat="1">
      <c r="A17" s="14" t="s">
        <v>8</v>
      </c>
      <c r="B17" s="15"/>
      <c r="C17" s="15"/>
    </row>
    <row r="18" spans="1:5">
      <c r="A18" s="17" t="s">
        <v>45</v>
      </c>
      <c r="B18" s="18">
        <v>0.2</v>
      </c>
      <c r="C18" s="10">
        <f>ROUND($C$14*B18,2)</f>
        <v>640.54999999999995</v>
      </c>
    </row>
    <row r="19" spans="1:5">
      <c r="A19" s="8" t="s">
        <v>9</v>
      </c>
      <c r="B19" s="18">
        <v>0.08</v>
      </c>
      <c r="C19" s="10">
        <f t="shared" ref="C19:C26" si="0">ROUND($C$14*B19,2)</f>
        <v>256.22000000000003</v>
      </c>
    </row>
    <row r="20" spans="1:5">
      <c r="A20" s="17" t="s">
        <v>34</v>
      </c>
      <c r="B20" s="18">
        <v>1.4999999999999999E-2</v>
      </c>
      <c r="C20" s="10">
        <f t="shared" si="0"/>
        <v>48.04</v>
      </c>
    </row>
    <row r="21" spans="1:5">
      <c r="A21" s="17" t="s">
        <v>35</v>
      </c>
      <c r="B21" s="18">
        <v>0.01</v>
      </c>
      <c r="C21" s="10">
        <f t="shared" si="0"/>
        <v>32.03</v>
      </c>
    </row>
    <row r="22" spans="1:5">
      <c r="A22" s="17" t="s">
        <v>36</v>
      </c>
      <c r="B22" s="18">
        <v>2E-3</v>
      </c>
      <c r="C22" s="10">
        <f t="shared" si="0"/>
        <v>6.41</v>
      </c>
    </row>
    <row r="23" spans="1:5">
      <c r="A23" s="17" t="s">
        <v>37</v>
      </c>
      <c r="B23" s="18">
        <v>6.0000000000000001E-3</v>
      </c>
      <c r="C23" s="10">
        <f t="shared" si="0"/>
        <v>19.22</v>
      </c>
    </row>
    <row r="24" spans="1:5">
      <c r="A24" s="17" t="s">
        <v>39</v>
      </c>
      <c r="B24" s="18">
        <v>0</v>
      </c>
      <c r="C24" s="10">
        <f>ROUND($C$14*B24,2)</f>
        <v>0</v>
      </c>
    </row>
    <row r="25" spans="1:5">
      <c r="A25" s="8" t="s">
        <v>10</v>
      </c>
      <c r="B25" s="18">
        <v>2.5000000000000001E-2</v>
      </c>
      <c r="C25" s="10">
        <f t="shared" si="0"/>
        <v>80.069999999999993</v>
      </c>
    </row>
    <row r="26" spans="1:5" ht="25.5">
      <c r="A26" s="8" t="s">
        <v>11</v>
      </c>
      <c r="B26" s="18">
        <v>0.03</v>
      </c>
      <c r="C26" s="10">
        <f t="shared" si="0"/>
        <v>96.08</v>
      </c>
    </row>
    <row r="27" spans="1:5" s="7" customFormat="1">
      <c r="A27" s="14" t="s">
        <v>12</v>
      </c>
      <c r="B27" s="19">
        <f>SUM(B18:B26)</f>
        <v>0.3680000000000001</v>
      </c>
      <c r="C27" s="16">
        <f>SUM(C18:C26)</f>
        <v>1178.6199999999999</v>
      </c>
    </row>
    <row r="28" spans="1:5" s="2" customFormat="1" ht="8.25">
      <c r="A28" s="13"/>
    </row>
    <row r="29" spans="1:5" s="7" customFormat="1">
      <c r="A29" s="14" t="s">
        <v>13</v>
      </c>
      <c r="B29" s="15"/>
      <c r="C29" s="15"/>
    </row>
    <row r="30" spans="1:5">
      <c r="A30" s="17" t="s">
        <v>32</v>
      </c>
      <c r="B30" s="18">
        <v>0</v>
      </c>
      <c r="C30" s="10">
        <f t="shared" ref="C30:C39" si="1">ROUND($C$14*B30,2)</f>
        <v>0</v>
      </c>
    </row>
    <row r="31" spans="1:5">
      <c r="A31" s="17" t="s">
        <v>33</v>
      </c>
      <c r="B31" s="18">
        <v>0</v>
      </c>
      <c r="C31" s="10">
        <f>ROUND($C$14*B31,2)</f>
        <v>0</v>
      </c>
    </row>
    <row r="32" spans="1:5">
      <c r="A32" s="17" t="s">
        <v>54</v>
      </c>
      <c r="B32" s="18">
        <v>8.3299999999999999E-2</v>
      </c>
      <c r="C32" s="10">
        <f>ROUND($C$14*B32,2)</f>
        <v>266.79000000000002</v>
      </c>
      <c r="E32" s="20"/>
    </row>
    <row r="33" spans="1:5">
      <c r="A33" s="17" t="s">
        <v>55</v>
      </c>
      <c r="B33" s="18">
        <v>6.4699999999999994E-2</v>
      </c>
      <c r="C33" s="10">
        <f t="shared" si="1"/>
        <v>207.22</v>
      </c>
      <c r="E33" s="21"/>
    </row>
    <row r="34" spans="1:5">
      <c r="A34" s="17" t="s">
        <v>56</v>
      </c>
      <c r="B34" s="18">
        <v>2.9999999999999997E-4</v>
      </c>
      <c r="C34" s="10">
        <f t="shared" si="1"/>
        <v>0.96</v>
      </c>
    </row>
    <row r="35" spans="1:5">
      <c r="A35" s="17" t="s">
        <v>57</v>
      </c>
      <c r="B35" s="18">
        <v>6.7000000000000002E-3</v>
      </c>
      <c r="C35" s="10">
        <f t="shared" si="1"/>
        <v>21.46</v>
      </c>
    </row>
    <row r="36" spans="1:5">
      <c r="A36" s="17" t="s">
        <v>58</v>
      </c>
      <c r="B36" s="18">
        <v>5.9999999999999995E-4</v>
      </c>
      <c r="C36" s="10">
        <f>ROUND($C$14*B36,2)</f>
        <v>1.92</v>
      </c>
      <c r="E36" s="22"/>
    </row>
    <row r="37" spans="1:5">
      <c r="A37" s="17" t="s">
        <v>59</v>
      </c>
      <c r="B37" s="18">
        <v>8.0000000000000004E-4</v>
      </c>
      <c r="C37" s="10">
        <f t="shared" si="1"/>
        <v>2.56</v>
      </c>
    </row>
    <row r="38" spans="1:5">
      <c r="A38" s="17" t="s">
        <v>60</v>
      </c>
      <c r="B38" s="18">
        <v>5.5999999999999999E-3</v>
      </c>
      <c r="C38" s="10">
        <f>ROUND($C$14*B38,2)</f>
        <v>17.940000000000001</v>
      </c>
      <c r="E38" s="21"/>
    </row>
    <row r="39" spans="1:5">
      <c r="A39" s="17" t="s">
        <v>38</v>
      </c>
      <c r="B39" s="18">
        <v>0</v>
      </c>
      <c r="C39" s="10">
        <f t="shared" si="1"/>
        <v>0</v>
      </c>
    </row>
    <row r="40" spans="1:5" s="7" customFormat="1">
      <c r="A40" s="14" t="s">
        <v>14</v>
      </c>
      <c r="B40" s="19">
        <f>SUM(B30:B39)</f>
        <v>0.16199999999999998</v>
      </c>
      <c r="C40" s="16">
        <f>SUM(C30:C39)</f>
        <v>518.85</v>
      </c>
    </row>
    <row r="41" spans="1:5" s="2" customFormat="1" ht="8.25">
      <c r="A41" s="13"/>
    </row>
    <row r="42" spans="1:5" s="7" customFormat="1" ht="12.75" customHeight="1">
      <c r="A42" s="14" t="s">
        <v>15</v>
      </c>
      <c r="B42" s="15"/>
      <c r="C42" s="15"/>
    </row>
    <row r="43" spans="1:5">
      <c r="A43" s="17" t="s">
        <v>61</v>
      </c>
      <c r="B43" s="18">
        <v>8.9999999999999998E-4</v>
      </c>
      <c r="C43" s="10">
        <f>ROUND($C$14*B43,2)</f>
        <v>2.88</v>
      </c>
      <c r="E43" s="40"/>
    </row>
    <row r="44" spans="1:5">
      <c r="A44" s="17" t="s">
        <v>62</v>
      </c>
      <c r="B44" s="18">
        <v>4.0300000000000002E-2</v>
      </c>
      <c r="C44" s="10">
        <f>ROUND($C$14*B44,2)</f>
        <v>129.07</v>
      </c>
    </row>
    <row r="45" spans="1:5">
      <c r="A45" s="17" t="s">
        <v>63</v>
      </c>
      <c r="B45" s="18">
        <v>4.07E-2</v>
      </c>
      <c r="C45" s="10">
        <f>ROUND($C$14*B45,2)</f>
        <v>130.35</v>
      </c>
    </row>
    <row r="46" spans="1:5">
      <c r="A46" s="17" t="s">
        <v>64</v>
      </c>
      <c r="B46" s="18">
        <v>3.0200000000000001E-2</v>
      </c>
      <c r="C46" s="10">
        <f>ROUND($C$14*B46,2)</f>
        <v>96.72</v>
      </c>
    </row>
    <row r="47" spans="1:5">
      <c r="A47" s="17" t="s">
        <v>65</v>
      </c>
      <c r="B47" s="18">
        <v>3.3999999999999998E-3</v>
      </c>
      <c r="C47" s="10">
        <f>ROUND($C$14*B47,2)</f>
        <v>10.89</v>
      </c>
    </row>
    <row r="48" spans="1:5" s="7" customFormat="1">
      <c r="A48" s="14" t="s">
        <v>44</v>
      </c>
      <c r="B48" s="19">
        <f>SUM(B43:B47)</f>
        <v>0.11550000000000001</v>
      </c>
      <c r="C48" s="16">
        <f>SUM(C43:C47)</f>
        <v>369.90999999999997</v>
      </c>
    </row>
    <row r="49" spans="1:6" s="2" customFormat="1" ht="8.25">
      <c r="A49" s="13"/>
    </row>
    <row r="50" spans="1:6" s="7" customFormat="1">
      <c r="A50" s="14" t="s">
        <v>40</v>
      </c>
      <c r="B50" s="19"/>
      <c r="C50" s="16"/>
    </row>
    <row r="51" spans="1:6">
      <c r="A51" s="17" t="s">
        <v>41</v>
      </c>
      <c r="B51" s="18">
        <v>5.96E-2</v>
      </c>
      <c r="C51" s="10">
        <f>ROUND($C$14*B51,2)</f>
        <v>190.88</v>
      </c>
    </row>
    <row r="52" spans="1:6" ht="25.5">
      <c r="A52" s="17" t="s">
        <v>47</v>
      </c>
      <c r="B52" s="18">
        <v>3.5999999999999999E-3</v>
      </c>
      <c r="C52" s="10">
        <f>ROUND($C$14*B52,2)</f>
        <v>11.53</v>
      </c>
    </row>
    <row r="53" spans="1:6" s="7" customFormat="1">
      <c r="A53" s="14" t="s">
        <v>43</v>
      </c>
      <c r="B53" s="19">
        <f>SUM(B51:B52)</f>
        <v>6.3200000000000006E-2</v>
      </c>
      <c r="C53" s="16">
        <f>SUM(C51:C52)</f>
        <v>202.41</v>
      </c>
    </row>
    <row r="54" spans="1:6" s="7" customFormat="1">
      <c r="A54" s="14" t="s">
        <v>16</v>
      </c>
      <c r="B54" s="19">
        <f>B27+B40+B48+B53</f>
        <v>0.70870000000000011</v>
      </c>
      <c r="C54" s="16">
        <f>C27+C40+C48+C53</f>
        <v>2269.7899999999995</v>
      </c>
    </row>
    <row r="55" spans="1:6" s="2" customFormat="1" ht="8.25">
      <c r="A55" s="13"/>
    </row>
    <row r="56" spans="1:6" s="7" customFormat="1">
      <c r="A56" s="14" t="s">
        <v>17</v>
      </c>
      <c r="B56" s="15"/>
      <c r="C56" s="15"/>
    </row>
    <row r="57" spans="1:6">
      <c r="A57" s="17" t="s">
        <v>176</v>
      </c>
      <c r="B57" s="18">
        <f>ROUND(C57/$C$14,4)</f>
        <v>0.13489999999999999</v>
      </c>
      <c r="C57" s="10">
        <v>432.19</v>
      </c>
      <c r="D57" s="3">
        <f>C57/E57</f>
        <v>19.645</v>
      </c>
      <c r="E57" s="3">
        <v>22</v>
      </c>
      <c r="F57" s="3">
        <f>D57*E57</f>
        <v>432.19</v>
      </c>
    </row>
    <row r="58" spans="1:6">
      <c r="A58" s="17" t="s">
        <v>161</v>
      </c>
      <c r="B58" s="18">
        <f>ROUND(C58/$C$14,4)</f>
        <v>1.37E-2</v>
      </c>
      <c r="C58" s="10">
        <f>E58</f>
        <v>43.76</v>
      </c>
      <c r="D58" s="41">
        <v>175.02</v>
      </c>
      <c r="E58" s="3">
        <f>ROUND(D58*3/12,2)</f>
        <v>43.76</v>
      </c>
    </row>
    <row r="59" spans="1:6">
      <c r="A59" s="17" t="s">
        <v>132</v>
      </c>
      <c r="B59" s="18">
        <f>ROUND(C59/$C$14,4)</f>
        <v>5.5E-2</v>
      </c>
      <c r="C59" s="10">
        <f>ROUND(D59*E59*F59,2)</f>
        <v>176</v>
      </c>
      <c r="D59" s="3">
        <v>4</v>
      </c>
      <c r="E59" s="38">
        <f>E57</f>
        <v>22</v>
      </c>
      <c r="F59" s="3">
        <v>2</v>
      </c>
    </row>
    <row r="60" spans="1:6">
      <c r="A60" s="17" t="s">
        <v>109</v>
      </c>
      <c r="B60" s="18">
        <f>-6%</f>
        <v>-0.06</v>
      </c>
      <c r="C60" s="107">
        <f>ROUND($C$14*B60,2)</f>
        <v>-192.17</v>
      </c>
    </row>
    <row r="61" spans="1:6">
      <c r="A61" s="17" t="s">
        <v>165</v>
      </c>
      <c r="B61" s="18">
        <f>ROUND(C61/$C$14,4)</f>
        <v>5.9999999999999995E-4</v>
      </c>
      <c r="C61" s="10">
        <f>ROUND(D61*E61,2)</f>
        <v>1.83</v>
      </c>
      <c r="D61" s="3">
        <f>ROUND(220/12,2)</f>
        <v>18.329999999999998</v>
      </c>
      <c r="E61" s="39">
        <v>0.1</v>
      </c>
    </row>
    <row r="62" spans="1:6">
      <c r="A62" s="17" t="s">
        <v>164</v>
      </c>
      <c r="B62" s="18">
        <f>ROUND(C62/$C$14,4)</f>
        <v>6.1999999999999998E-3</v>
      </c>
      <c r="C62" s="10">
        <f>ROUND(D62*E62,2)</f>
        <v>19.8</v>
      </c>
      <c r="D62" s="3">
        <f>ROUND(220/12,2)</f>
        <v>18.329999999999998</v>
      </c>
      <c r="E62" s="39">
        <v>1.08</v>
      </c>
    </row>
    <row r="63" spans="1:6">
      <c r="A63" s="17" t="s">
        <v>154</v>
      </c>
      <c r="B63" s="18">
        <f>ROUND(C63/$C$14,4)</f>
        <v>3.7000000000000002E-3</v>
      </c>
      <c r="C63" s="10">
        <v>11.8</v>
      </c>
    </row>
    <row r="64" spans="1:6">
      <c r="A64" s="17" t="s">
        <v>111</v>
      </c>
      <c r="B64" s="18">
        <v>0</v>
      </c>
      <c r="C64" s="10">
        <f>ROUND($C$14*B64,2)</f>
        <v>0</v>
      </c>
    </row>
    <row r="65" spans="1:5">
      <c r="A65" s="14" t="s">
        <v>18</v>
      </c>
      <c r="B65" s="18">
        <f>SUM(B57:B64)</f>
        <v>0.15409999999999999</v>
      </c>
      <c r="C65" s="16">
        <f>SUM(C57:C64)</f>
        <v>493.21000000000009</v>
      </c>
    </row>
    <row r="66" spans="1:5" s="2" customFormat="1" ht="8.25">
      <c r="A66" s="13"/>
    </row>
    <row r="67" spans="1:5" s="7" customFormat="1">
      <c r="A67" s="14" t="s">
        <v>19</v>
      </c>
      <c r="B67" s="15"/>
      <c r="C67" s="16">
        <f>C14+C54+C65</f>
        <v>5965.7599999999993</v>
      </c>
    </row>
    <row r="68" spans="1:5" s="2" customFormat="1" ht="8.25">
      <c r="A68" s="13"/>
    </row>
    <row r="69" spans="1:5" s="7" customFormat="1">
      <c r="A69" s="14" t="s">
        <v>20</v>
      </c>
      <c r="B69" s="15"/>
      <c r="C69" s="15"/>
    </row>
    <row r="70" spans="1:5">
      <c r="A70" s="17" t="s">
        <v>48</v>
      </c>
      <c r="B70" s="18">
        <v>0.1</v>
      </c>
      <c r="C70" s="10">
        <f>ROUND(($C$14+$C$65)*B70,2)</f>
        <v>369.6</v>
      </c>
    </row>
    <row r="71" spans="1:5">
      <c r="A71" s="17" t="s">
        <v>49</v>
      </c>
      <c r="B71" s="18">
        <v>0.05</v>
      </c>
      <c r="C71" s="10">
        <f>ROUND(($C$14+$C$65)*B71,2)</f>
        <v>184.8</v>
      </c>
    </row>
    <row r="72" spans="1:5">
      <c r="A72" s="14" t="s">
        <v>21</v>
      </c>
      <c r="B72" s="19">
        <f>SUM(B70:B71)</f>
        <v>0.15000000000000002</v>
      </c>
      <c r="C72" s="16">
        <f>SUM(C70:C71)</f>
        <v>554.40000000000009</v>
      </c>
    </row>
    <row r="73" spans="1:5" s="2" customFormat="1" ht="8.25">
      <c r="A73" s="13"/>
    </row>
    <row r="74" spans="1:5" s="7" customFormat="1">
      <c r="A74" s="14" t="s">
        <v>22</v>
      </c>
      <c r="B74" s="15"/>
      <c r="C74" s="15"/>
    </row>
    <row r="75" spans="1:5">
      <c r="A75" s="8" t="s">
        <v>23</v>
      </c>
      <c r="B75" s="18">
        <v>0.03</v>
      </c>
      <c r="C75" s="10">
        <f>ROUND(((($C$67+$C$72)/(1-($B$78)))-($C$67+$C$72))*(B75/$B$78),2)</f>
        <v>209.54</v>
      </c>
      <c r="D75" s="23"/>
    </row>
    <row r="76" spans="1:5">
      <c r="A76" s="8" t="s">
        <v>24</v>
      </c>
      <c r="B76" s="18">
        <v>0.03</v>
      </c>
      <c r="C76" s="10">
        <f>ROUND(((($C$67+$C$72)/(1-($B$78)))-($C$67+$C$72))*(B76/$B$78),2)</f>
        <v>209.54</v>
      </c>
    </row>
    <row r="77" spans="1:5">
      <c r="A77" s="8" t="s">
        <v>25</v>
      </c>
      <c r="B77" s="18">
        <v>6.4999999999999997E-3</v>
      </c>
      <c r="C77" s="10">
        <f>ROUND(((($C$67+$C$72)/(1-($B$78)))-($C$67+$C$72))*(B77/$B$78),2)</f>
        <v>45.4</v>
      </c>
    </row>
    <row r="78" spans="1:5" s="7" customFormat="1">
      <c r="A78" s="14" t="s">
        <v>26</v>
      </c>
      <c r="B78" s="19">
        <f>SUM(B75:B77)</f>
        <v>6.6500000000000004E-2</v>
      </c>
      <c r="C78" s="16">
        <f>SUM(C75:C77)</f>
        <v>464.47999999999996</v>
      </c>
    </row>
    <row r="79" spans="1:5" s="2" customFormat="1">
      <c r="A79" s="13"/>
      <c r="D79" s="3"/>
      <c r="E79" s="3"/>
    </row>
    <row r="80" spans="1:5" s="7" customFormat="1">
      <c r="A80" s="14" t="s">
        <v>91</v>
      </c>
      <c r="B80" s="15"/>
      <c r="C80" s="16">
        <f>C67+C72+C78</f>
        <v>6984.6399999999994</v>
      </c>
      <c r="D80" s="3"/>
      <c r="E80" s="3"/>
    </row>
    <row r="81" spans="1:5" s="27" customFormat="1" ht="7.5" customHeight="1">
      <c r="A81" s="24"/>
      <c r="B81" s="25"/>
      <c r="C81" s="26"/>
      <c r="D81" s="7"/>
      <c r="E81" s="7"/>
    </row>
    <row r="82" spans="1:5" s="7" customFormat="1" ht="8.25" customHeight="1">
      <c r="A82" s="35"/>
      <c r="B82" s="36"/>
      <c r="C82" s="37"/>
    </row>
    <row r="83" spans="1:5" s="7" customFormat="1">
      <c r="A83" s="108" t="s">
        <v>155</v>
      </c>
      <c r="B83" s="108"/>
      <c r="C83" s="16">
        <v>35.270000000000003</v>
      </c>
    </row>
    <row r="84" spans="1:5">
      <c r="A84" s="160"/>
      <c r="B84" s="160"/>
      <c r="C84" s="160"/>
    </row>
  </sheetData>
  <sheetProtection selectLockedCells="1" selectUnlockedCells="1"/>
  <mergeCells count="5">
    <mergeCell ref="A84:C84"/>
    <mergeCell ref="A2:C2"/>
    <mergeCell ref="A3:C3"/>
    <mergeCell ref="A5:C5"/>
    <mergeCell ref="A6:C6"/>
  </mergeCells>
  <phoneticPr fontId="0" type="noConversion"/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E81" sqref="E81"/>
    </sheetView>
  </sheetViews>
  <sheetFormatPr defaultRowHeight="12.75"/>
  <cols>
    <col min="1" max="1" width="85.42578125" style="3" customWidth="1"/>
    <col min="2" max="2" width="10" style="3" customWidth="1"/>
    <col min="3" max="3" width="11.5703125" style="3" bestFit="1" customWidth="1"/>
    <col min="4" max="4" width="9.140625" style="3"/>
    <col min="5" max="5" width="16.85546875" style="3" bestFit="1" customWidth="1"/>
    <col min="6" max="6" width="7.7109375" style="3" customWidth="1"/>
    <col min="7" max="16384" width="9.140625" style="3"/>
  </cols>
  <sheetData>
    <row r="1" spans="1:6" s="2" customFormat="1">
      <c r="A1" s="110"/>
      <c r="B1" s="110"/>
      <c r="C1" s="110"/>
      <c r="E1" s="3"/>
      <c r="F1" s="3"/>
    </row>
    <row r="2" spans="1:6" s="2" customFormat="1" ht="18.75">
      <c r="A2" s="161" t="s">
        <v>46</v>
      </c>
      <c r="B2" s="161"/>
      <c r="C2" s="161"/>
      <c r="E2" s="3"/>
      <c r="F2" s="3"/>
    </row>
    <row r="3" spans="1:6" s="2" customFormat="1" ht="18.75">
      <c r="A3" s="161" t="s">
        <v>85</v>
      </c>
      <c r="B3" s="161"/>
      <c r="C3" s="161"/>
      <c r="E3" s="3"/>
      <c r="F3" s="3"/>
    </row>
    <row r="4" spans="1:6" s="2" customFormat="1" ht="8.25">
      <c r="A4" s="111"/>
      <c r="B4" s="111"/>
      <c r="C4" s="111"/>
    </row>
    <row r="5" spans="1:6">
      <c r="A5" s="160" t="s">
        <v>52</v>
      </c>
      <c r="B5" s="160"/>
      <c r="C5" s="160"/>
    </row>
    <row r="6" spans="1:6">
      <c r="A6" s="160" t="s">
        <v>168</v>
      </c>
      <c r="B6" s="160"/>
      <c r="C6" s="160"/>
    </row>
    <row r="7" spans="1:6" s="2" customFormat="1" ht="8.25"/>
    <row r="8" spans="1:6" s="7" customFormat="1">
      <c r="A8" s="5" t="s">
        <v>2</v>
      </c>
      <c r="B8" s="6"/>
      <c r="C8" s="6"/>
    </row>
    <row r="9" spans="1:6" s="11" customFormat="1">
      <c r="A9" s="17" t="s">
        <v>174</v>
      </c>
      <c r="B9" s="9"/>
      <c r="C9" s="10">
        <v>2668.97</v>
      </c>
      <c r="E9" s="12"/>
    </row>
    <row r="10" spans="1:6" s="2" customFormat="1" ht="8.25">
      <c r="A10" s="13"/>
    </row>
    <row r="11" spans="1:6" s="7" customFormat="1">
      <c r="A11" s="14" t="s">
        <v>3</v>
      </c>
      <c r="B11" s="15"/>
      <c r="C11" s="15"/>
    </row>
    <row r="12" spans="1:6" s="7" customFormat="1">
      <c r="A12" s="14" t="s">
        <v>4</v>
      </c>
      <c r="B12" s="15"/>
      <c r="C12" s="15"/>
    </row>
    <row r="13" spans="1:6">
      <c r="A13" s="8" t="s">
        <v>5</v>
      </c>
      <c r="B13" s="9"/>
      <c r="C13" s="10">
        <f>C9</f>
        <v>2668.97</v>
      </c>
    </row>
    <row r="14" spans="1:6" s="7" customFormat="1">
      <c r="A14" s="14" t="s">
        <v>6</v>
      </c>
      <c r="B14" s="15"/>
      <c r="C14" s="16">
        <f>C13</f>
        <v>2668.97</v>
      </c>
    </row>
    <row r="15" spans="1:6" s="2" customFormat="1" ht="8.25">
      <c r="A15" s="13"/>
    </row>
    <row r="16" spans="1:6" s="7" customFormat="1">
      <c r="A16" s="14" t="s">
        <v>7</v>
      </c>
      <c r="B16" s="15"/>
      <c r="C16" s="15"/>
    </row>
    <row r="17" spans="1:5" s="7" customFormat="1">
      <c r="A17" s="14" t="s">
        <v>8</v>
      </c>
      <c r="B17" s="15"/>
      <c r="C17" s="15"/>
    </row>
    <row r="18" spans="1:5">
      <c r="A18" s="17" t="s">
        <v>45</v>
      </c>
      <c r="B18" s="18">
        <v>0.2</v>
      </c>
      <c r="C18" s="10">
        <f t="shared" ref="C18:C26" si="0">ROUND($C$14*B18,2)</f>
        <v>533.79</v>
      </c>
    </row>
    <row r="19" spans="1:5">
      <c r="A19" s="8" t="s">
        <v>9</v>
      </c>
      <c r="B19" s="18">
        <v>0.08</v>
      </c>
      <c r="C19" s="10">
        <f t="shared" si="0"/>
        <v>213.52</v>
      </c>
    </row>
    <row r="20" spans="1:5">
      <c r="A20" s="17" t="s">
        <v>34</v>
      </c>
      <c r="B20" s="18">
        <v>1.4999999999999999E-2</v>
      </c>
      <c r="C20" s="10">
        <f t="shared" si="0"/>
        <v>40.03</v>
      </c>
    </row>
    <row r="21" spans="1:5">
      <c r="A21" s="17" t="s">
        <v>35</v>
      </c>
      <c r="B21" s="18">
        <v>0.01</v>
      </c>
      <c r="C21" s="10">
        <f t="shared" si="0"/>
        <v>26.69</v>
      </c>
    </row>
    <row r="22" spans="1:5">
      <c r="A22" s="17" t="s">
        <v>36</v>
      </c>
      <c r="B22" s="18">
        <v>2E-3</v>
      </c>
      <c r="C22" s="10">
        <f t="shared" si="0"/>
        <v>5.34</v>
      </c>
    </row>
    <row r="23" spans="1:5">
      <c r="A23" s="17" t="s">
        <v>37</v>
      </c>
      <c r="B23" s="18">
        <v>6.0000000000000001E-3</v>
      </c>
      <c r="C23" s="10">
        <f t="shared" si="0"/>
        <v>16.010000000000002</v>
      </c>
    </row>
    <row r="24" spans="1:5">
      <c r="A24" s="17" t="s">
        <v>39</v>
      </c>
      <c r="B24" s="18">
        <v>0</v>
      </c>
      <c r="C24" s="10">
        <f>ROUND($C$14*B24,2)</f>
        <v>0</v>
      </c>
    </row>
    <row r="25" spans="1:5">
      <c r="A25" s="8" t="s">
        <v>10</v>
      </c>
      <c r="B25" s="18">
        <v>2.5000000000000001E-2</v>
      </c>
      <c r="C25" s="10">
        <f t="shared" si="0"/>
        <v>66.72</v>
      </c>
    </row>
    <row r="26" spans="1:5" ht="25.5">
      <c r="A26" s="8" t="s">
        <v>11</v>
      </c>
      <c r="B26" s="18">
        <v>0.03</v>
      </c>
      <c r="C26" s="10">
        <f t="shared" si="0"/>
        <v>80.069999999999993</v>
      </c>
    </row>
    <row r="27" spans="1:5" s="7" customFormat="1">
      <c r="A27" s="14" t="s">
        <v>12</v>
      </c>
      <c r="B27" s="19">
        <f>SUM(B18:B26)</f>
        <v>0.3680000000000001</v>
      </c>
      <c r="C27" s="16">
        <f>SUM(C18:C26)</f>
        <v>982.17000000000007</v>
      </c>
    </row>
    <row r="28" spans="1:5" s="2" customFormat="1" ht="8.25">
      <c r="A28" s="13"/>
    </row>
    <row r="29" spans="1:5" s="7" customFormat="1">
      <c r="A29" s="14" t="s">
        <v>13</v>
      </c>
      <c r="B29" s="15"/>
      <c r="C29" s="15"/>
    </row>
    <row r="30" spans="1:5">
      <c r="A30" s="17" t="s">
        <v>32</v>
      </c>
      <c r="B30" s="18">
        <v>0</v>
      </c>
      <c r="C30" s="10">
        <f t="shared" ref="C30:C39" si="1">ROUND($C$14*B30,2)</f>
        <v>0</v>
      </c>
    </row>
    <row r="31" spans="1:5">
      <c r="A31" s="17" t="s">
        <v>33</v>
      </c>
      <c r="B31" s="18">
        <v>0</v>
      </c>
      <c r="C31" s="10">
        <f>ROUND($C$14*B31,2)</f>
        <v>0</v>
      </c>
    </row>
    <row r="32" spans="1:5">
      <c r="A32" s="17" t="s">
        <v>54</v>
      </c>
      <c r="B32" s="18">
        <v>8.3299999999999999E-2</v>
      </c>
      <c r="C32" s="10">
        <f>ROUND($C$14*B32,2)</f>
        <v>222.33</v>
      </c>
      <c r="E32" s="20"/>
    </row>
    <row r="33" spans="1:5">
      <c r="A33" s="17" t="s">
        <v>55</v>
      </c>
      <c r="B33" s="18">
        <v>6.4699999999999994E-2</v>
      </c>
      <c r="C33" s="10">
        <f t="shared" si="1"/>
        <v>172.68</v>
      </c>
      <c r="E33" s="21"/>
    </row>
    <row r="34" spans="1:5">
      <c r="A34" s="17" t="s">
        <v>56</v>
      </c>
      <c r="B34" s="18">
        <v>2.9999999999999997E-4</v>
      </c>
      <c r="C34" s="10">
        <f t="shared" si="1"/>
        <v>0.8</v>
      </c>
    </row>
    <row r="35" spans="1:5">
      <c r="A35" s="17" t="s">
        <v>57</v>
      </c>
      <c r="B35" s="18">
        <v>6.7000000000000002E-3</v>
      </c>
      <c r="C35" s="10">
        <f t="shared" si="1"/>
        <v>17.88</v>
      </c>
    </row>
    <row r="36" spans="1:5">
      <c r="A36" s="17" t="s">
        <v>58</v>
      </c>
      <c r="B36" s="18">
        <v>5.9999999999999995E-4</v>
      </c>
      <c r="C36" s="10">
        <f>ROUND($C$14*B36,2)</f>
        <v>1.6</v>
      </c>
      <c r="E36" s="22"/>
    </row>
    <row r="37" spans="1:5">
      <c r="A37" s="17" t="s">
        <v>59</v>
      </c>
      <c r="B37" s="18">
        <v>8.0000000000000004E-4</v>
      </c>
      <c r="C37" s="10">
        <f t="shared" si="1"/>
        <v>2.14</v>
      </c>
    </row>
    <row r="38" spans="1:5">
      <c r="A38" s="17" t="s">
        <v>60</v>
      </c>
      <c r="B38" s="18">
        <v>5.5999999999999999E-3</v>
      </c>
      <c r="C38" s="10">
        <f>ROUND($C$14*B38,2)</f>
        <v>14.95</v>
      </c>
      <c r="E38" s="21"/>
    </row>
    <row r="39" spans="1:5">
      <c r="A39" s="17" t="s">
        <v>38</v>
      </c>
      <c r="B39" s="18">
        <v>0</v>
      </c>
      <c r="C39" s="10">
        <f t="shared" si="1"/>
        <v>0</v>
      </c>
    </row>
    <row r="40" spans="1:5" s="7" customFormat="1">
      <c r="A40" s="14" t="s">
        <v>14</v>
      </c>
      <c r="B40" s="19">
        <f>SUM(B30:B39)</f>
        <v>0.16199999999999998</v>
      </c>
      <c r="C40" s="16">
        <f>SUM(C30:C39)</f>
        <v>432.38</v>
      </c>
    </row>
    <row r="41" spans="1:5" s="2" customFormat="1" ht="8.25">
      <c r="A41" s="13"/>
    </row>
    <row r="42" spans="1:5" s="7" customFormat="1" ht="12.75" customHeight="1">
      <c r="A42" s="14" t="s">
        <v>15</v>
      </c>
      <c r="B42" s="15"/>
      <c r="C42" s="15"/>
    </row>
    <row r="43" spans="1:5">
      <c r="A43" s="17" t="s">
        <v>61</v>
      </c>
      <c r="B43" s="18">
        <v>8.9999999999999998E-4</v>
      </c>
      <c r="C43" s="10">
        <f>ROUND($C$14*B43,2)</f>
        <v>2.4</v>
      </c>
      <c r="E43" s="40"/>
    </row>
    <row r="44" spans="1:5">
      <c r="A44" s="17" t="s">
        <v>62</v>
      </c>
      <c r="B44" s="18">
        <v>4.0300000000000002E-2</v>
      </c>
      <c r="C44" s="10">
        <f>ROUND($C$14*B44,2)</f>
        <v>107.56</v>
      </c>
    </row>
    <row r="45" spans="1:5">
      <c r="A45" s="17" t="s">
        <v>63</v>
      </c>
      <c r="B45" s="18">
        <v>4.07E-2</v>
      </c>
      <c r="C45" s="10">
        <f>ROUND($C$14*B45,2)</f>
        <v>108.63</v>
      </c>
    </row>
    <row r="46" spans="1:5">
      <c r="A46" s="17" t="s">
        <v>64</v>
      </c>
      <c r="B46" s="18">
        <v>3.0200000000000001E-2</v>
      </c>
      <c r="C46" s="10">
        <f>ROUND($C$14*B46,2)</f>
        <v>80.599999999999994</v>
      </c>
    </row>
    <row r="47" spans="1:5">
      <c r="A47" s="17" t="s">
        <v>65</v>
      </c>
      <c r="B47" s="18">
        <v>3.3999999999999998E-3</v>
      </c>
      <c r="C47" s="10">
        <f>ROUND($C$14*B47,2)</f>
        <v>9.07</v>
      </c>
    </row>
    <row r="48" spans="1:5" s="7" customFormat="1">
      <c r="A48" s="14" t="s">
        <v>44</v>
      </c>
      <c r="B48" s="19">
        <f>SUM(B43:B47)</f>
        <v>0.11550000000000001</v>
      </c>
      <c r="C48" s="16">
        <f>SUM(C43:C47)</f>
        <v>308.26</v>
      </c>
    </row>
    <row r="49" spans="1:6" s="2" customFormat="1" ht="8.25">
      <c r="A49" s="13"/>
    </row>
    <row r="50" spans="1:6" s="7" customFormat="1">
      <c r="A50" s="14" t="s">
        <v>40</v>
      </c>
      <c r="B50" s="19"/>
      <c r="C50" s="16"/>
    </row>
    <row r="51" spans="1:6">
      <c r="A51" s="17" t="s">
        <v>41</v>
      </c>
      <c r="B51" s="18">
        <v>5.96E-2</v>
      </c>
      <c r="C51" s="10">
        <f>ROUND($C$14*B51,2)</f>
        <v>159.07</v>
      </c>
    </row>
    <row r="52" spans="1:6" ht="25.5">
      <c r="A52" s="17" t="s">
        <v>47</v>
      </c>
      <c r="B52" s="18">
        <v>3.5999999999999999E-3</v>
      </c>
      <c r="C52" s="10">
        <f>ROUND($C$14*B52,2)</f>
        <v>9.61</v>
      </c>
    </row>
    <row r="53" spans="1:6" s="7" customFormat="1">
      <c r="A53" s="14" t="s">
        <v>43</v>
      </c>
      <c r="B53" s="19">
        <f>SUM(B51:B52)</f>
        <v>6.3200000000000006E-2</v>
      </c>
      <c r="C53" s="16">
        <f>SUM(C51:C52)</f>
        <v>168.68</v>
      </c>
    </row>
    <row r="54" spans="1:6" s="7" customFormat="1">
      <c r="A54" s="14" t="s">
        <v>16</v>
      </c>
      <c r="B54" s="19">
        <f>B27+B40+B48+B53</f>
        <v>0.70870000000000011</v>
      </c>
      <c r="C54" s="16">
        <f>C27+C40+C48+C53</f>
        <v>1891.4900000000002</v>
      </c>
    </row>
    <row r="55" spans="1:6" s="2" customFormat="1" ht="8.25">
      <c r="A55" s="13"/>
    </row>
    <row r="56" spans="1:6" s="7" customFormat="1">
      <c r="A56" s="14" t="s">
        <v>17</v>
      </c>
      <c r="B56" s="15"/>
      <c r="C56" s="15"/>
    </row>
    <row r="57" spans="1:6">
      <c r="A57" s="17" t="s">
        <v>176</v>
      </c>
      <c r="B57" s="18">
        <f>ROUND(C57/$C$14,4)</f>
        <v>0.16189999999999999</v>
      </c>
      <c r="C57" s="10">
        <v>432.19</v>
      </c>
      <c r="D57" s="3">
        <f>C57/E57</f>
        <v>19.645</v>
      </c>
      <c r="E57" s="3">
        <v>22</v>
      </c>
      <c r="F57" s="3">
        <f>D57*E57</f>
        <v>432.19</v>
      </c>
    </row>
    <row r="58" spans="1:6">
      <c r="A58" s="17" t="s">
        <v>161</v>
      </c>
      <c r="B58" s="18">
        <f>ROUND(C58/$C$14,4)</f>
        <v>1.6400000000000001E-2</v>
      </c>
      <c r="C58" s="10">
        <f>E58</f>
        <v>43.76</v>
      </c>
      <c r="D58" s="41">
        <v>175.02</v>
      </c>
      <c r="E58" s="3">
        <f>ROUND(D58*3/12,2)</f>
        <v>43.76</v>
      </c>
    </row>
    <row r="59" spans="1:6">
      <c r="A59" s="17" t="s">
        <v>132</v>
      </c>
      <c r="B59" s="18">
        <f>ROUND(C59/$C$14,4)</f>
        <v>6.59E-2</v>
      </c>
      <c r="C59" s="10">
        <f>ROUND(D59*E59*F59,2)</f>
        <v>176</v>
      </c>
      <c r="D59" s="3">
        <v>4</v>
      </c>
      <c r="E59" s="38">
        <f>E57</f>
        <v>22</v>
      </c>
      <c r="F59" s="3">
        <v>2</v>
      </c>
    </row>
    <row r="60" spans="1:6">
      <c r="A60" s="17" t="s">
        <v>109</v>
      </c>
      <c r="B60" s="18">
        <f>-6%</f>
        <v>-0.06</v>
      </c>
      <c r="C60" s="107">
        <f>ROUND($C$14*B60,2)</f>
        <v>-160.13999999999999</v>
      </c>
    </row>
    <row r="61" spans="1:6">
      <c r="A61" s="17" t="s">
        <v>122</v>
      </c>
      <c r="B61" s="18">
        <f>ROUND(C61/$C$14,4)</f>
        <v>5.4000000000000003E-3</v>
      </c>
      <c r="C61" s="10">
        <f>ROUND(D61*E61,2)</f>
        <v>14.3</v>
      </c>
      <c r="D61" s="3">
        <f>ROUND(220/12,2)</f>
        <v>18.329999999999998</v>
      </c>
      <c r="E61" s="39">
        <v>0.78</v>
      </c>
    </row>
    <row r="62" spans="1:6">
      <c r="A62" s="17" t="s">
        <v>123</v>
      </c>
      <c r="B62" s="18">
        <f>ROUND(C62/$C$14,4)</f>
        <v>7.3000000000000001E-3</v>
      </c>
      <c r="C62" s="10">
        <f>ROUND(D62*E62,2)</f>
        <v>19.61</v>
      </c>
      <c r="D62" s="3">
        <f>ROUND(220/12,2)</f>
        <v>18.329999999999998</v>
      </c>
      <c r="E62" s="39">
        <v>1.07</v>
      </c>
    </row>
    <row r="63" spans="1:6">
      <c r="A63" s="17" t="s">
        <v>154</v>
      </c>
      <c r="B63" s="18">
        <f>ROUND(C63/$C$14,4)</f>
        <v>4.4000000000000003E-3</v>
      </c>
      <c r="C63" s="10">
        <v>11.8</v>
      </c>
    </row>
    <row r="64" spans="1:6">
      <c r="A64" s="17" t="s">
        <v>111</v>
      </c>
      <c r="B64" s="18">
        <v>0</v>
      </c>
      <c r="C64" s="10">
        <f>ROUND($C$14*B64,2)</f>
        <v>0</v>
      </c>
    </row>
    <row r="65" spans="1:5">
      <c r="A65" s="14" t="s">
        <v>18</v>
      </c>
      <c r="B65" s="18">
        <f>SUM(B57:B64)</f>
        <v>0.20129999999999995</v>
      </c>
      <c r="C65" s="16">
        <f>SUM(C57:C64)</f>
        <v>537.52</v>
      </c>
    </row>
    <row r="66" spans="1:5" s="2" customFormat="1" ht="8.25">
      <c r="A66" s="13"/>
    </row>
    <row r="67" spans="1:5" s="7" customFormat="1">
      <c r="A67" s="14" t="s">
        <v>19</v>
      </c>
      <c r="B67" s="15"/>
      <c r="C67" s="16">
        <f>C14+C54+C65</f>
        <v>5097.9799999999996</v>
      </c>
    </row>
    <row r="68" spans="1:5" s="2" customFormat="1" ht="8.25">
      <c r="A68" s="13"/>
    </row>
    <row r="69" spans="1:5" s="7" customFormat="1">
      <c r="A69" s="14" t="s">
        <v>20</v>
      </c>
      <c r="B69" s="15"/>
      <c r="C69" s="15"/>
    </row>
    <row r="70" spans="1:5">
      <c r="A70" s="17" t="s">
        <v>48</v>
      </c>
      <c r="B70" s="18">
        <v>0.1</v>
      </c>
      <c r="C70" s="10">
        <f>ROUND(($C$14+$C$65)*B70,2)</f>
        <v>320.64999999999998</v>
      </c>
    </row>
    <row r="71" spans="1:5">
      <c r="A71" s="17" t="s">
        <v>49</v>
      </c>
      <c r="B71" s="18">
        <v>0.05</v>
      </c>
      <c r="C71" s="10">
        <f>ROUND(($C$14+$C$65)*B71,2)</f>
        <v>160.32</v>
      </c>
    </row>
    <row r="72" spans="1:5">
      <c r="A72" s="14" t="s">
        <v>21</v>
      </c>
      <c r="B72" s="19">
        <f>SUM(B70:B71)</f>
        <v>0.15000000000000002</v>
      </c>
      <c r="C72" s="16">
        <f>SUM(C70:C71)</f>
        <v>480.96999999999997</v>
      </c>
    </row>
    <row r="73" spans="1:5" s="2" customFormat="1" ht="8.25">
      <c r="A73" s="13"/>
    </row>
    <row r="74" spans="1:5" s="7" customFormat="1">
      <c r="A74" s="14" t="s">
        <v>22</v>
      </c>
      <c r="B74" s="15"/>
      <c r="C74" s="15"/>
    </row>
    <row r="75" spans="1:5">
      <c r="A75" s="8" t="s">
        <v>23</v>
      </c>
      <c r="B75" s="18">
        <v>0.03</v>
      </c>
      <c r="C75" s="10">
        <f>ROUND(((($C$67+$C$72)/(1-($B$78)))-($C$67+$C$72))*(B75/$B$78),2)</f>
        <v>179.29</v>
      </c>
      <c r="D75" s="23"/>
    </row>
    <row r="76" spans="1:5">
      <c r="A76" s="8" t="s">
        <v>24</v>
      </c>
      <c r="B76" s="18">
        <v>0.03</v>
      </c>
      <c r="C76" s="10">
        <f>ROUND(((($C$67+$C$72)/(1-($B$78)))-($C$67+$C$72))*(B76/$B$78),2)</f>
        <v>179.29</v>
      </c>
    </row>
    <row r="77" spans="1:5">
      <c r="A77" s="8" t="s">
        <v>25</v>
      </c>
      <c r="B77" s="18">
        <v>6.4999999999999997E-3</v>
      </c>
      <c r="C77" s="10">
        <f>ROUND(((($C$67+$C$72)/(1-($B$78)))-($C$67+$C$72))*(B77/$B$78),2)</f>
        <v>38.85</v>
      </c>
    </row>
    <row r="78" spans="1:5" s="7" customFormat="1">
      <c r="A78" s="14" t="s">
        <v>26</v>
      </c>
      <c r="B78" s="19">
        <f>SUM(B75:B77)</f>
        <v>6.6500000000000004E-2</v>
      </c>
      <c r="C78" s="16">
        <f>SUM(C75:C77)</f>
        <v>397.43</v>
      </c>
    </row>
    <row r="79" spans="1:5" s="2" customFormat="1">
      <c r="A79" s="13"/>
      <c r="D79" s="3"/>
      <c r="E79" s="3"/>
    </row>
    <row r="80" spans="1:5" s="7" customFormat="1">
      <c r="A80" s="14" t="s">
        <v>87</v>
      </c>
      <c r="B80" s="15"/>
      <c r="C80" s="16">
        <f>C67+C72+C78</f>
        <v>5976.38</v>
      </c>
      <c r="D80" s="3"/>
      <c r="E80" s="3"/>
    </row>
    <row r="81" spans="1:5" s="27" customFormat="1" ht="7.5" customHeight="1">
      <c r="A81" s="24"/>
      <c r="B81" s="25"/>
      <c r="C81" s="26"/>
      <c r="D81" s="7"/>
      <c r="E81" s="7"/>
    </row>
    <row r="82" spans="1:5" s="7" customFormat="1" ht="8.25" customHeight="1">
      <c r="A82" s="35"/>
      <c r="B82" s="36"/>
      <c r="C82" s="37"/>
    </row>
    <row r="83" spans="1:5" s="7" customFormat="1">
      <c r="A83" s="108" t="s">
        <v>155</v>
      </c>
      <c r="B83" s="108"/>
      <c r="C83" s="16">
        <v>35.270000000000003</v>
      </c>
    </row>
    <row r="84" spans="1:5">
      <c r="A84" s="160"/>
      <c r="B84" s="160"/>
      <c r="C84" s="160"/>
    </row>
  </sheetData>
  <sheetProtection selectLockedCells="1" selectUnlockedCells="1"/>
  <mergeCells count="5">
    <mergeCell ref="A84:C84"/>
    <mergeCell ref="A2:C2"/>
    <mergeCell ref="A3:C3"/>
    <mergeCell ref="A5:C5"/>
    <mergeCell ref="A6:C6"/>
  </mergeCells>
  <phoneticPr fontId="0" type="noConversion"/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topLeftCell="A55" zoomScaleSheetLayoutView="100" workbookViewId="0">
      <selection activeCell="E82" sqref="E82"/>
    </sheetView>
  </sheetViews>
  <sheetFormatPr defaultRowHeight="12.75"/>
  <cols>
    <col min="1" max="1" width="85.42578125" style="3" customWidth="1"/>
    <col min="2" max="2" width="10" style="3" customWidth="1"/>
    <col min="3" max="3" width="13.7109375" style="3" bestFit="1" customWidth="1"/>
    <col min="4" max="4" width="9.140625" style="3"/>
    <col min="5" max="5" width="16.85546875" style="3" bestFit="1" customWidth="1"/>
    <col min="6" max="6" width="7.7109375" style="3" customWidth="1"/>
    <col min="7" max="16384" width="9.140625" style="3"/>
  </cols>
  <sheetData>
    <row r="1" spans="1:6" s="2" customFormat="1">
      <c r="A1" s="110"/>
      <c r="B1" s="110"/>
      <c r="C1" s="110"/>
      <c r="E1" s="3"/>
      <c r="F1" s="3"/>
    </row>
    <row r="2" spans="1:6" s="2" customFormat="1" ht="18.75">
      <c r="A2" s="161" t="s">
        <v>46</v>
      </c>
      <c r="B2" s="161"/>
      <c r="C2" s="161"/>
      <c r="E2" s="3"/>
      <c r="F2" s="3"/>
    </row>
    <row r="3" spans="1:6" s="2" customFormat="1" ht="18.75">
      <c r="A3" s="161" t="s">
        <v>86</v>
      </c>
      <c r="B3" s="161"/>
      <c r="C3" s="161"/>
      <c r="E3" s="3"/>
      <c r="F3" s="3"/>
    </row>
    <row r="4" spans="1:6" s="2" customFormat="1" ht="8.25">
      <c r="A4" s="111"/>
      <c r="B4" s="111"/>
      <c r="C4" s="111"/>
    </row>
    <row r="5" spans="1:6">
      <c r="A5" s="160" t="s">
        <v>52</v>
      </c>
      <c r="B5" s="160"/>
      <c r="C5" s="160"/>
    </row>
    <row r="6" spans="1:6">
      <c r="A6" s="160" t="s">
        <v>168</v>
      </c>
      <c r="B6" s="160"/>
      <c r="C6" s="160"/>
    </row>
    <row r="7" spans="1:6" s="2" customFormat="1" ht="8.25"/>
    <row r="8" spans="1:6" s="7" customFormat="1">
      <c r="A8" s="5" t="s">
        <v>2</v>
      </c>
      <c r="B8" s="6"/>
      <c r="C8" s="6"/>
    </row>
    <row r="9" spans="1:6" s="11" customFormat="1">
      <c r="A9" s="17" t="s">
        <v>175</v>
      </c>
      <c r="B9" s="9"/>
      <c r="C9" s="10">
        <v>2668.97</v>
      </c>
      <c r="E9" s="12"/>
    </row>
    <row r="10" spans="1:6" s="2" customFormat="1" ht="8.25">
      <c r="A10" s="13"/>
    </row>
    <row r="11" spans="1:6" s="7" customFormat="1">
      <c r="A11" s="14" t="s">
        <v>3</v>
      </c>
      <c r="B11" s="15"/>
      <c r="C11" s="15"/>
    </row>
    <row r="12" spans="1:6" s="7" customFormat="1">
      <c r="A12" s="14" t="s">
        <v>4</v>
      </c>
      <c r="B12" s="15"/>
      <c r="C12" s="15"/>
    </row>
    <row r="13" spans="1:6">
      <c r="A13" s="8" t="s">
        <v>5</v>
      </c>
      <c r="B13" s="9"/>
      <c r="C13" s="10">
        <f>C9</f>
        <v>2668.97</v>
      </c>
    </row>
    <row r="14" spans="1:6" s="7" customFormat="1">
      <c r="A14" s="14" t="s">
        <v>6</v>
      </c>
      <c r="B14" s="15"/>
      <c r="C14" s="16">
        <f>C13</f>
        <v>2668.97</v>
      </c>
    </row>
    <row r="15" spans="1:6" s="2" customFormat="1" ht="8.25">
      <c r="A15" s="13"/>
    </row>
    <row r="16" spans="1:6" s="7" customFormat="1">
      <c r="A16" s="14" t="s">
        <v>7</v>
      </c>
      <c r="B16" s="15"/>
      <c r="C16" s="15"/>
    </row>
    <row r="17" spans="1:5" s="7" customFormat="1">
      <c r="A17" s="14" t="s">
        <v>8</v>
      </c>
      <c r="B17" s="15"/>
      <c r="C17" s="15"/>
    </row>
    <row r="18" spans="1:5">
      <c r="A18" s="17" t="s">
        <v>45</v>
      </c>
      <c r="B18" s="18">
        <v>0.2</v>
      </c>
      <c r="C18" s="10">
        <f t="shared" ref="C18:C26" si="0">ROUND($C$14*B18,2)</f>
        <v>533.79</v>
      </c>
    </row>
    <row r="19" spans="1:5">
      <c r="A19" s="8" t="s">
        <v>9</v>
      </c>
      <c r="B19" s="18">
        <v>0.08</v>
      </c>
      <c r="C19" s="10">
        <f t="shared" si="0"/>
        <v>213.52</v>
      </c>
    </row>
    <row r="20" spans="1:5">
      <c r="A20" s="17" t="s">
        <v>34</v>
      </c>
      <c r="B20" s="18">
        <v>1.4999999999999999E-2</v>
      </c>
      <c r="C20" s="10">
        <f t="shared" si="0"/>
        <v>40.03</v>
      </c>
    </row>
    <row r="21" spans="1:5">
      <c r="A21" s="17" t="s">
        <v>35</v>
      </c>
      <c r="B21" s="18">
        <v>0.01</v>
      </c>
      <c r="C21" s="10">
        <f t="shared" si="0"/>
        <v>26.69</v>
      </c>
    </row>
    <row r="22" spans="1:5">
      <c r="A22" s="17" t="s">
        <v>36</v>
      </c>
      <c r="B22" s="18">
        <v>2E-3</v>
      </c>
      <c r="C22" s="10">
        <f t="shared" si="0"/>
        <v>5.34</v>
      </c>
    </row>
    <row r="23" spans="1:5">
      <c r="A23" s="17" t="s">
        <v>37</v>
      </c>
      <c r="B23" s="18">
        <v>6.0000000000000001E-3</v>
      </c>
      <c r="C23" s="10">
        <f t="shared" si="0"/>
        <v>16.010000000000002</v>
      </c>
    </row>
    <row r="24" spans="1:5">
      <c r="A24" s="17" t="s">
        <v>39</v>
      </c>
      <c r="B24" s="18">
        <v>0</v>
      </c>
      <c r="C24" s="10">
        <f>ROUND($C$14*B24,2)</f>
        <v>0</v>
      </c>
    </row>
    <row r="25" spans="1:5">
      <c r="A25" s="8" t="s">
        <v>10</v>
      </c>
      <c r="B25" s="18">
        <v>2.5000000000000001E-2</v>
      </c>
      <c r="C25" s="10">
        <f t="shared" si="0"/>
        <v>66.72</v>
      </c>
    </row>
    <row r="26" spans="1:5" ht="25.5">
      <c r="A26" s="8" t="s">
        <v>11</v>
      </c>
      <c r="B26" s="18">
        <v>0.03</v>
      </c>
      <c r="C26" s="10">
        <f t="shared" si="0"/>
        <v>80.069999999999993</v>
      </c>
    </row>
    <row r="27" spans="1:5" s="7" customFormat="1">
      <c r="A27" s="14" t="s">
        <v>12</v>
      </c>
      <c r="B27" s="19">
        <f>SUM(B18:B26)</f>
        <v>0.3680000000000001</v>
      </c>
      <c r="C27" s="16">
        <f>SUM(C18:C26)</f>
        <v>982.17000000000007</v>
      </c>
    </row>
    <row r="28" spans="1:5" s="2" customFormat="1" ht="8.25">
      <c r="A28" s="13"/>
    </row>
    <row r="29" spans="1:5" s="7" customFormat="1">
      <c r="A29" s="14" t="s">
        <v>13</v>
      </c>
      <c r="B29" s="15"/>
      <c r="C29" s="15"/>
    </row>
    <row r="30" spans="1:5">
      <c r="A30" s="17" t="s">
        <v>32</v>
      </c>
      <c r="B30" s="18">
        <v>0</v>
      </c>
      <c r="C30" s="10">
        <f t="shared" ref="C30:C39" si="1">ROUND($C$14*B30,2)</f>
        <v>0</v>
      </c>
    </row>
    <row r="31" spans="1:5">
      <c r="A31" s="17" t="s">
        <v>33</v>
      </c>
      <c r="B31" s="18">
        <v>0</v>
      </c>
      <c r="C31" s="10">
        <f>ROUND($C$14*B31,2)</f>
        <v>0</v>
      </c>
    </row>
    <row r="32" spans="1:5">
      <c r="A32" s="17" t="s">
        <v>54</v>
      </c>
      <c r="B32" s="18">
        <v>8.3299999999999999E-2</v>
      </c>
      <c r="C32" s="10">
        <f>ROUND($C$14*B32,2)</f>
        <v>222.33</v>
      </c>
      <c r="E32" s="20"/>
    </row>
    <row r="33" spans="1:5">
      <c r="A33" s="17" t="s">
        <v>55</v>
      </c>
      <c r="B33" s="18">
        <v>6.4699999999999994E-2</v>
      </c>
      <c r="C33" s="10">
        <f t="shared" si="1"/>
        <v>172.68</v>
      </c>
      <c r="E33" s="21"/>
    </row>
    <row r="34" spans="1:5">
      <c r="A34" s="17" t="s">
        <v>56</v>
      </c>
      <c r="B34" s="18">
        <v>2.9999999999999997E-4</v>
      </c>
      <c r="C34" s="10">
        <f t="shared" si="1"/>
        <v>0.8</v>
      </c>
    </row>
    <row r="35" spans="1:5">
      <c r="A35" s="17" t="s">
        <v>57</v>
      </c>
      <c r="B35" s="18">
        <v>6.7000000000000002E-3</v>
      </c>
      <c r="C35" s="10">
        <f t="shared" si="1"/>
        <v>17.88</v>
      </c>
    </row>
    <row r="36" spans="1:5">
      <c r="A36" s="17" t="s">
        <v>58</v>
      </c>
      <c r="B36" s="18">
        <v>5.9999999999999995E-4</v>
      </c>
      <c r="C36" s="10">
        <f>ROUND($C$14*B36,2)</f>
        <v>1.6</v>
      </c>
      <c r="E36" s="22"/>
    </row>
    <row r="37" spans="1:5">
      <c r="A37" s="17" t="s">
        <v>59</v>
      </c>
      <c r="B37" s="18">
        <v>8.0000000000000004E-4</v>
      </c>
      <c r="C37" s="10">
        <f t="shared" si="1"/>
        <v>2.14</v>
      </c>
    </row>
    <row r="38" spans="1:5">
      <c r="A38" s="17" t="s">
        <v>60</v>
      </c>
      <c r="B38" s="18">
        <v>5.5999999999999999E-3</v>
      </c>
      <c r="C38" s="10">
        <f>ROUND($C$14*B38,2)</f>
        <v>14.95</v>
      </c>
      <c r="E38" s="21"/>
    </row>
    <row r="39" spans="1:5">
      <c r="A39" s="17" t="s">
        <v>38</v>
      </c>
      <c r="B39" s="18">
        <v>0</v>
      </c>
      <c r="C39" s="10">
        <f t="shared" si="1"/>
        <v>0</v>
      </c>
    </row>
    <row r="40" spans="1:5" s="7" customFormat="1">
      <c r="A40" s="14" t="s">
        <v>14</v>
      </c>
      <c r="B40" s="19">
        <f>SUM(B30:B39)</f>
        <v>0.16199999999999998</v>
      </c>
      <c r="C40" s="16">
        <f>SUM(C30:C39)</f>
        <v>432.38</v>
      </c>
    </row>
    <row r="41" spans="1:5" s="2" customFormat="1" ht="8.25">
      <c r="A41" s="13"/>
    </row>
    <row r="42" spans="1:5" s="7" customFormat="1" ht="12.75" customHeight="1">
      <c r="A42" s="14" t="s">
        <v>15</v>
      </c>
      <c r="B42" s="15"/>
      <c r="C42" s="15"/>
    </row>
    <row r="43" spans="1:5">
      <c r="A43" s="17" t="s">
        <v>61</v>
      </c>
      <c r="B43" s="18">
        <v>8.9999999999999998E-4</v>
      </c>
      <c r="C43" s="10">
        <f>ROUND($C$14*B43,2)</f>
        <v>2.4</v>
      </c>
      <c r="E43" s="40"/>
    </row>
    <row r="44" spans="1:5">
      <c r="A44" s="17" t="s">
        <v>62</v>
      </c>
      <c r="B44" s="18">
        <v>4.0300000000000002E-2</v>
      </c>
      <c r="C44" s="10">
        <f>ROUND($C$14*B44,2)</f>
        <v>107.56</v>
      </c>
    </row>
    <row r="45" spans="1:5">
      <c r="A45" s="17" t="s">
        <v>63</v>
      </c>
      <c r="B45" s="18">
        <v>4.07E-2</v>
      </c>
      <c r="C45" s="10">
        <f>ROUND($C$14*B45,2)</f>
        <v>108.63</v>
      </c>
    </row>
    <row r="46" spans="1:5">
      <c r="A46" s="17" t="s">
        <v>64</v>
      </c>
      <c r="B46" s="18">
        <v>3.0200000000000001E-2</v>
      </c>
      <c r="C46" s="10">
        <f>ROUND($C$14*B46,2)</f>
        <v>80.599999999999994</v>
      </c>
    </row>
    <row r="47" spans="1:5">
      <c r="A47" s="17" t="s">
        <v>65</v>
      </c>
      <c r="B47" s="18">
        <v>3.3999999999999998E-3</v>
      </c>
      <c r="C47" s="10">
        <f>ROUND($C$14*B47,2)</f>
        <v>9.07</v>
      </c>
    </row>
    <row r="48" spans="1:5" s="7" customFormat="1">
      <c r="A48" s="14" t="s">
        <v>44</v>
      </c>
      <c r="B48" s="19">
        <f>SUM(B43:B47)</f>
        <v>0.11550000000000001</v>
      </c>
      <c r="C48" s="16">
        <f>SUM(C43:C47)</f>
        <v>308.26</v>
      </c>
    </row>
    <row r="49" spans="1:6" s="2" customFormat="1" ht="8.25">
      <c r="A49" s="13"/>
    </row>
    <row r="50" spans="1:6" s="7" customFormat="1">
      <c r="A50" s="14" t="s">
        <v>40</v>
      </c>
      <c r="B50" s="19"/>
      <c r="C50" s="16"/>
    </row>
    <row r="51" spans="1:6">
      <c r="A51" s="17" t="s">
        <v>41</v>
      </c>
      <c r="B51" s="18">
        <v>5.96E-2</v>
      </c>
      <c r="C51" s="10">
        <f>ROUND($C$14*B51,2)</f>
        <v>159.07</v>
      </c>
    </row>
    <row r="52" spans="1:6" ht="25.5">
      <c r="A52" s="17" t="s">
        <v>47</v>
      </c>
      <c r="B52" s="18">
        <v>3.5999999999999999E-3</v>
      </c>
      <c r="C52" s="10">
        <f>ROUND($C$14*B52,2)</f>
        <v>9.61</v>
      </c>
    </row>
    <row r="53" spans="1:6" s="7" customFormat="1">
      <c r="A53" s="14" t="s">
        <v>43</v>
      </c>
      <c r="B53" s="19">
        <f>SUM(B51:B52)</f>
        <v>6.3200000000000006E-2</v>
      </c>
      <c r="C53" s="16">
        <f>SUM(C51:C52)</f>
        <v>168.68</v>
      </c>
    </row>
    <row r="54" spans="1:6" s="7" customFormat="1">
      <c r="A54" s="14" t="s">
        <v>16</v>
      </c>
      <c r="B54" s="19">
        <f>B27+B40+B48+B53</f>
        <v>0.70870000000000011</v>
      </c>
      <c r="C54" s="16">
        <f>C27+C40+C48+C53</f>
        <v>1891.4900000000002</v>
      </c>
    </row>
    <row r="55" spans="1:6" s="2" customFormat="1" ht="8.25">
      <c r="A55" s="13"/>
    </row>
    <row r="56" spans="1:6" s="7" customFormat="1">
      <c r="A56" s="14" t="s">
        <v>17</v>
      </c>
      <c r="B56" s="15"/>
      <c r="C56" s="15"/>
    </row>
    <row r="57" spans="1:6">
      <c r="A57" s="17" t="s">
        <v>176</v>
      </c>
      <c r="B57" s="18">
        <f>ROUND(C57/$C$14,4)</f>
        <v>0.16189999999999999</v>
      </c>
      <c r="C57" s="10">
        <v>432.19</v>
      </c>
      <c r="D57" s="3">
        <f>C57/E57</f>
        <v>19.645</v>
      </c>
      <c r="E57" s="3">
        <v>22</v>
      </c>
      <c r="F57" s="3">
        <f>D57*E57</f>
        <v>432.19</v>
      </c>
    </row>
    <row r="58" spans="1:6">
      <c r="A58" s="17" t="s">
        <v>161</v>
      </c>
      <c r="B58" s="18">
        <f>ROUND(C58/$C$14,4)</f>
        <v>1.6400000000000001E-2</v>
      </c>
      <c r="C58" s="10">
        <f>E58</f>
        <v>43.76</v>
      </c>
      <c r="D58" s="41">
        <v>175.02</v>
      </c>
      <c r="E58" s="3">
        <f>ROUND(D58*3/12,2)</f>
        <v>43.76</v>
      </c>
    </row>
    <row r="59" spans="1:6">
      <c r="A59" s="17" t="s">
        <v>132</v>
      </c>
      <c r="B59" s="18">
        <f>ROUND(C59/$C$14,4)</f>
        <v>6.59E-2</v>
      </c>
      <c r="C59" s="10">
        <f>ROUND(D59*E59*F59,2)</f>
        <v>176</v>
      </c>
      <c r="D59" s="3">
        <v>4</v>
      </c>
      <c r="E59" s="38">
        <f>E57</f>
        <v>22</v>
      </c>
      <c r="F59" s="3">
        <v>2</v>
      </c>
    </row>
    <row r="60" spans="1:6">
      <c r="A60" s="17" t="s">
        <v>109</v>
      </c>
      <c r="B60" s="18">
        <f>-6%</f>
        <v>-0.06</v>
      </c>
      <c r="C60" s="107">
        <f>ROUND($C$14*B60,2)</f>
        <v>-160.13999999999999</v>
      </c>
    </row>
    <row r="61" spans="1:6">
      <c r="A61" s="17" t="s">
        <v>122</v>
      </c>
      <c r="B61" s="18">
        <f>ROUND(C61/$C$14,4)</f>
        <v>5.4000000000000003E-3</v>
      </c>
      <c r="C61" s="10">
        <f>ROUND(D61*E61,2)</f>
        <v>14.3</v>
      </c>
      <c r="D61" s="3">
        <f>ROUND(220/12,2)</f>
        <v>18.329999999999998</v>
      </c>
      <c r="E61" s="39">
        <v>0.78</v>
      </c>
    </row>
    <row r="62" spans="1:6">
      <c r="A62" s="17" t="s">
        <v>123</v>
      </c>
      <c r="B62" s="18">
        <f>ROUND(C62/$C$14,4)</f>
        <v>7.3000000000000001E-3</v>
      </c>
      <c r="C62" s="10">
        <f>ROUND(D62*E62,2)</f>
        <v>19.61</v>
      </c>
      <c r="D62" s="3">
        <f>ROUND(220/12,2)</f>
        <v>18.329999999999998</v>
      </c>
      <c r="E62" s="39">
        <v>1.07</v>
      </c>
    </row>
    <row r="63" spans="1:6">
      <c r="A63" s="17" t="s">
        <v>154</v>
      </c>
      <c r="B63" s="18">
        <f>ROUND(C63/$C$14,4)</f>
        <v>4.4000000000000003E-3</v>
      </c>
      <c r="C63" s="10">
        <v>11.8</v>
      </c>
    </row>
    <row r="64" spans="1:6">
      <c r="A64" s="17" t="s">
        <v>111</v>
      </c>
      <c r="B64" s="18">
        <v>0</v>
      </c>
      <c r="C64" s="10">
        <f>ROUND($C$14*B64,2)</f>
        <v>0</v>
      </c>
    </row>
    <row r="65" spans="1:5">
      <c r="A65" s="14" t="s">
        <v>18</v>
      </c>
      <c r="B65" s="18">
        <f>SUM(B57:B64)</f>
        <v>0.20129999999999995</v>
      </c>
      <c r="C65" s="16">
        <f>SUM(C57:C64)</f>
        <v>537.52</v>
      </c>
    </row>
    <row r="66" spans="1:5" s="2" customFormat="1" ht="8.25">
      <c r="A66" s="13"/>
    </row>
    <row r="67" spans="1:5" s="7" customFormat="1">
      <c r="A67" s="14" t="s">
        <v>19</v>
      </c>
      <c r="B67" s="15"/>
      <c r="C67" s="16">
        <f>C14+C54+C65</f>
        <v>5097.9799999999996</v>
      </c>
    </row>
    <row r="68" spans="1:5" s="2" customFormat="1" ht="8.25">
      <c r="A68" s="13"/>
    </row>
    <row r="69" spans="1:5" s="7" customFormat="1">
      <c r="A69" s="14" t="s">
        <v>20</v>
      </c>
      <c r="B69" s="15"/>
      <c r="C69" s="15"/>
    </row>
    <row r="70" spans="1:5">
      <c r="A70" s="17" t="s">
        <v>48</v>
      </c>
      <c r="B70" s="18">
        <v>0.1</v>
      </c>
      <c r="C70" s="10">
        <f>ROUND(($C$14+$C$65)*B70,2)</f>
        <v>320.64999999999998</v>
      </c>
    </row>
    <row r="71" spans="1:5">
      <c r="A71" s="17" t="s">
        <v>49</v>
      </c>
      <c r="B71" s="18">
        <v>0.05</v>
      </c>
      <c r="C71" s="10">
        <f>ROUND(($C$14+$C$65)*B71,2)</f>
        <v>160.32</v>
      </c>
    </row>
    <row r="72" spans="1:5">
      <c r="A72" s="14" t="s">
        <v>21</v>
      </c>
      <c r="B72" s="19">
        <f>SUM(B70:B71)</f>
        <v>0.15000000000000002</v>
      </c>
      <c r="C72" s="16">
        <f>SUM(C70:C71)</f>
        <v>480.96999999999997</v>
      </c>
    </row>
    <row r="73" spans="1:5" s="2" customFormat="1" ht="8.25">
      <c r="A73" s="13"/>
    </row>
    <row r="74" spans="1:5" s="7" customFormat="1">
      <c r="A74" s="14" t="s">
        <v>22</v>
      </c>
      <c r="B74" s="15"/>
      <c r="C74" s="15"/>
    </row>
    <row r="75" spans="1:5">
      <c r="A75" s="8" t="s">
        <v>23</v>
      </c>
      <c r="B75" s="18">
        <v>0.03</v>
      </c>
      <c r="C75" s="10">
        <f>ROUND(((($C$67+$C$72)/(1-($B$78)))-($C$67+$C$72))*(B75/$B$78),2)</f>
        <v>179.29</v>
      </c>
      <c r="D75" s="23"/>
    </row>
    <row r="76" spans="1:5">
      <c r="A76" s="8" t="s">
        <v>24</v>
      </c>
      <c r="B76" s="18">
        <v>0.03</v>
      </c>
      <c r="C76" s="10">
        <f>ROUND(((($C$67+$C$72)/(1-($B$78)))-($C$67+$C$72))*(B76/$B$78),2)</f>
        <v>179.29</v>
      </c>
    </row>
    <row r="77" spans="1:5">
      <c r="A77" s="8" t="s">
        <v>25</v>
      </c>
      <c r="B77" s="18">
        <v>6.4999999999999997E-3</v>
      </c>
      <c r="C77" s="10">
        <f>ROUND(((($C$67+$C$72)/(1-($B$78)))-($C$67+$C$72))*(B77/$B$78),2)</f>
        <v>38.85</v>
      </c>
    </row>
    <row r="78" spans="1:5" s="7" customFormat="1">
      <c r="A78" s="14" t="s">
        <v>26</v>
      </c>
      <c r="B78" s="19">
        <f>SUM(B75:B77)</f>
        <v>6.6500000000000004E-2</v>
      </c>
      <c r="C78" s="16">
        <f>SUM(C75:C77)</f>
        <v>397.43</v>
      </c>
    </row>
    <row r="79" spans="1:5" s="2" customFormat="1">
      <c r="A79" s="13"/>
      <c r="D79" s="3"/>
      <c r="E79" s="3"/>
    </row>
    <row r="80" spans="1:5" s="7" customFormat="1">
      <c r="A80" s="14" t="s">
        <v>94</v>
      </c>
      <c r="B80" s="15"/>
      <c r="C80" s="16">
        <f>C67+C72+C78</f>
        <v>5976.38</v>
      </c>
      <c r="D80" s="3"/>
      <c r="E80" s="3"/>
    </row>
    <row r="81" spans="1:5" s="27" customFormat="1" ht="7.5" customHeight="1">
      <c r="A81" s="24"/>
      <c r="B81" s="25"/>
      <c r="C81" s="26"/>
      <c r="D81" s="7"/>
      <c r="E81" s="7"/>
    </row>
    <row r="82" spans="1:5" s="7" customFormat="1" ht="8.25" customHeight="1">
      <c r="A82" s="35"/>
      <c r="B82" s="36"/>
      <c r="C82" s="37"/>
    </row>
    <row r="83" spans="1:5" s="7" customFormat="1">
      <c r="A83" s="108" t="s">
        <v>155</v>
      </c>
      <c r="B83" s="108"/>
      <c r="C83" s="16">
        <v>35.270000000000003</v>
      </c>
    </row>
    <row r="84" spans="1:5">
      <c r="A84" s="160"/>
      <c r="B84" s="160"/>
      <c r="C84" s="160"/>
    </row>
  </sheetData>
  <sheetProtection selectLockedCells="1" selectUnlockedCells="1"/>
  <mergeCells count="5">
    <mergeCell ref="A84:C84"/>
    <mergeCell ref="A2:C2"/>
    <mergeCell ref="A3:C3"/>
    <mergeCell ref="A5:C5"/>
    <mergeCell ref="A6:C6"/>
  </mergeCells>
  <phoneticPr fontId="0" type="noConversion"/>
  <printOptions horizontalCentered="1"/>
  <pageMargins left="0.98425196850393704" right="0.39370078740157483" top="0.15748031496062992" bottom="0.11811023622047245" header="0.15748031496062992" footer="0.51181102362204722"/>
  <pageSetup paperSize="9" scale="77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Normal="100" zoomScaleSheetLayoutView="100" workbookViewId="0">
      <selection activeCell="I11" sqref="I11"/>
    </sheetView>
  </sheetViews>
  <sheetFormatPr defaultRowHeight="12.75"/>
  <cols>
    <col min="1" max="1" width="14.140625" style="3" bestFit="1" customWidth="1"/>
    <col min="2" max="2" width="2.28515625" style="3" bestFit="1" customWidth="1"/>
    <col min="3" max="3" width="6.28515625" style="3" bestFit="1" customWidth="1"/>
    <col min="4" max="4" width="51.7109375" style="3" customWidth="1"/>
    <col min="5" max="5" width="11.5703125" style="3" customWidth="1"/>
    <col min="6" max="6" width="11.28515625" style="3" bestFit="1" customWidth="1"/>
    <col min="7" max="16384" width="9.140625" style="3"/>
  </cols>
  <sheetData>
    <row r="1" spans="1:7" s="2" customFormat="1">
      <c r="A1" s="110"/>
      <c r="B1" s="110"/>
      <c r="C1" s="110"/>
    </row>
    <row r="2" spans="1:7" s="2" customFormat="1" ht="18.75" customHeight="1">
      <c r="A2" s="180" t="s">
        <v>46</v>
      </c>
      <c r="B2" s="180"/>
      <c r="C2" s="180"/>
      <c r="D2" s="180"/>
      <c r="E2" s="180"/>
      <c r="F2" s="180"/>
    </row>
    <row r="3" spans="1:7" s="2" customFormat="1" ht="15.75">
      <c r="A3" s="180" t="s">
        <v>158</v>
      </c>
      <c r="B3" s="180"/>
      <c r="C3" s="180"/>
      <c r="D3" s="180"/>
      <c r="E3" s="180"/>
      <c r="F3" s="180"/>
    </row>
    <row r="4" spans="1:7" s="2" customFormat="1" ht="15" customHeight="1">
      <c r="A4" s="111"/>
      <c r="B4" s="111"/>
      <c r="C4" s="111"/>
    </row>
    <row r="5" spans="1:7" ht="13.5" customHeight="1">
      <c r="A5" s="160" t="s">
        <v>1</v>
      </c>
      <c r="B5" s="160"/>
      <c r="C5" s="160"/>
      <c r="D5" s="160"/>
      <c r="E5" s="160"/>
      <c r="F5" s="160"/>
    </row>
    <row r="6" spans="1:7" ht="15" customHeight="1">
      <c r="A6" s="177" t="s">
        <v>168</v>
      </c>
      <c r="B6" s="177"/>
      <c r="C6" s="177"/>
      <c r="D6" s="177"/>
      <c r="E6" s="177"/>
      <c r="F6" s="177"/>
    </row>
    <row r="7" spans="1:7" s="2" customFormat="1" ht="12.75" customHeight="1"/>
    <row r="8" spans="1:7" s="181" customFormat="1" ht="24" customHeight="1">
      <c r="A8" s="28" t="s">
        <v>112</v>
      </c>
      <c r="B8" s="164" t="s">
        <v>15</v>
      </c>
      <c r="C8" s="164"/>
      <c r="D8" s="164"/>
      <c r="E8" s="29" t="s">
        <v>120</v>
      </c>
      <c r="F8" s="30" t="s">
        <v>119</v>
      </c>
    </row>
    <row r="9" spans="1:7" s="181" customFormat="1" ht="12.75" customHeight="1">
      <c r="A9" s="32" t="s">
        <v>113</v>
      </c>
      <c r="B9" s="165" t="s">
        <v>121</v>
      </c>
      <c r="C9" s="166"/>
      <c r="D9" s="167"/>
      <c r="E9" s="34">
        <v>0.1</v>
      </c>
      <c r="F9" s="33">
        <v>0.09</v>
      </c>
    </row>
    <row r="10" spans="1:7" s="181" customFormat="1" ht="12.75" customHeight="1">
      <c r="A10" s="32" t="s">
        <v>114</v>
      </c>
      <c r="B10" s="165" t="s">
        <v>115</v>
      </c>
      <c r="C10" s="166"/>
      <c r="D10" s="167"/>
      <c r="E10" s="34">
        <v>0.9</v>
      </c>
      <c r="F10" s="33">
        <v>4.03</v>
      </c>
      <c r="G10" s="182"/>
    </row>
    <row r="11" spans="1:7" s="184" customFormat="1" ht="14.1" customHeight="1">
      <c r="A11" s="160"/>
      <c r="B11" s="160"/>
      <c r="C11" s="160"/>
      <c r="D11" s="160"/>
      <c r="E11" s="160"/>
      <c r="F11" s="160"/>
      <c r="G11" s="183"/>
    </row>
    <row r="12" spans="1:7" s="181" customFormat="1" ht="13.5" customHeight="1">
      <c r="A12" s="185" t="s">
        <v>51</v>
      </c>
      <c r="B12" s="185"/>
      <c r="C12" s="185"/>
      <c r="D12" s="185"/>
      <c r="E12" s="185"/>
      <c r="F12" s="185"/>
    </row>
    <row r="13" spans="1:7" s="181" customFormat="1" ht="12.75" customHeight="1">
      <c r="A13" s="160"/>
      <c r="B13" s="160"/>
      <c r="C13" s="160"/>
      <c r="D13" s="160"/>
      <c r="E13" s="160"/>
      <c r="F13" s="160"/>
    </row>
    <row r="14" spans="1:7" s="181" customFormat="1" ht="66.75" customHeight="1">
      <c r="A14" s="186" t="s">
        <v>117</v>
      </c>
      <c r="B14" s="187"/>
      <c r="C14" s="187"/>
      <c r="D14" s="187"/>
      <c r="E14" s="187"/>
      <c r="F14" s="187"/>
    </row>
    <row r="15" spans="1:7" s="181" customFormat="1" ht="68.25" customHeight="1">
      <c r="A15" s="186" t="s">
        <v>118</v>
      </c>
      <c r="B15" s="187"/>
      <c r="C15" s="187"/>
      <c r="D15" s="187"/>
      <c r="E15" s="187"/>
      <c r="F15" s="187"/>
    </row>
    <row r="16" spans="1:7" s="181" customFormat="1" ht="27" customHeight="1">
      <c r="A16" s="186" t="s">
        <v>116</v>
      </c>
      <c r="B16" s="187"/>
      <c r="C16" s="187"/>
      <c r="D16" s="187"/>
      <c r="E16" s="187"/>
      <c r="F16" s="187"/>
    </row>
    <row r="17" spans="1:6" s="181" customFormat="1" ht="15" customHeight="1">
      <c r="A17" s="160"/>
      <c r="B17" s="160"/>
      <c r="C17" s="160"/>
      <c r="D17" s="160"/>
      <c r="E17" s="160"/>
      <c r="F17" s="160"/>
    </row>
    <row r="18" spans="1:6" s="181" customFormat="1" ht="15" customHeight="1">
      <c r="A18" s="160"/>
      <c r="B18" s="160"/>
      <c r="C18" s="160"/>
      <c r="D18" s="160"/>
      <c r="E18" s="160"/>
      <c r="F18" s="160"/>
    </row>
    <row r="19" spans="1:6" s="181" customFormat="1" ht="15" customHeight="1">
      <c r="A19" s="160"/>
      <c r="B19" s="160"/>
      <c r="C19" s="160"/>
      <c r="D19" s="160"/>
      <c r="E19" s="160"/>
      <c r="F19" s="160"/>
    </row>
    <row r="20" spans="1:6" s="181" customFormat="1" ht="15" customHeight="1">
      <c r="A20" s="160"/>
      <c r="B20" s="160"/>
      <c r="C20" s="160"/>
      <c r="D20" s="160"/>
      <c r="E20" s="160"/>
      <c r="F20" s="160"/>
    </row>
    <row r="21" spans="1:6" s="181" customFormat="1" ht="15" customHeight="1">
      <c r="A21" s="160"/>
      <c r="B21" s="160"/>
      <c r="C21" s="160"/>
      <c r="D21" s="160"/>
      <c r="E21" s="160"/>
      <c r="F21" s="160"/>
    </row>
    <row r="22" spans="1:6" ht="15" customHeight="1">
      <c r="A22" s="160"/>
      <c r="B22" s="160"/>
      <c r="C22" s="160"/>
      <c r="D22" s="160"/>
      <c r="E22" s="160"/>
      <c r="F22" s="160"/>
    </row>
    <row r="23" spans="1:6" ht="15" customHeight="1">
      <c r="A23" s="160"/>
      <c r="B23" s="160"/>
      <c r="C23" s="160"/>
      <c r="D23" s="160"/>
      <c r="E23" s="160"/>
      <c r="F23" s="160"/>
    </row>
    <row r="24" spans="1:6" ht="40.5" customHeight="1"/>
    <row r="25" spans="1:6" ht="30.75" customHeight="1"/>
    <row r="27" spans="1:6" ht="38.25" customHeight="1"/>
  </sheetData>
  <sheetProtection selectLockedCells="1" selectUnlockedCells="1"/>
  <mergeCells count="20">
    <mergeCell ref="A22:F22"/>
    <mergeCell ref="A23:F23"/>
    <mergeCell ref="B9:D9"/>
    <mergeCell ref="B10:D10"/>
    <mergeCell ref="A11:F11"/>
    <mergeCell ref="A12:F12"/>
    <mergeCell ref="A15:F15"/>
    <mergeCell ref="A16:F16"/>
    <mergeCell ref="A17:F17"/>
    <mergeCell ref="A18:F18"/>
    <mergeCell ref="A21:F21"/>
    <mergeCell ref="A14:F14"/>
    <mergeCell ref="A13:F13"/>
    <mergeCell ref="A19:F19"/>
    <mergeCell ref="A20:F20"/>
    <mergeCell ref="A2:F2"/>
    <mergeCell ref="A3:F3"/>
    <mergeCell ref="A5:F5"/>
    <mergeCell ref="A6:F6"/>
    <mergeCell ref="B8:D8"/>
  </mergeCells>
  <phoneticPr fontId="0" type="noConversion"/>
  <printOptions horizontalCentered="1"/>
  <pageMargins left="0.98425196850393704" right="0.39370078740157483" top="0.15748031496062992" bottom="0.15748031496062992" header="0.15748031496062992" footer="0.15748031496062992"/>
  <pageSetup paperSize="9" scale="80" firstPageNumber="0" orientation="portrait" r:id="rId1"/>
  <headerFooter alignWithMargins="0">
    <oddHeader>&amp;C                       TJ/PI – Termo de Referência – Processo nº 0143998/2014-Rev3 – Departamento de Engenharia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531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LICITAÇÃO</vt:lpstr>
      <vt:lpstr>Anexo 02_1</vt:lpstr>
      <vt:lpstr>Anexo 02_2</vt:lpstr>
      <vt:lpstr>Anexo 02_3</vt:lpstr>
      <vt:lpstr>Anexo 02_4</vt:lpstr>
      <vt:lpstr>Anexo 02_5</vt:lpstr>
      <vt:lpstr>Anexo 02_6</vt:lpstr>
      <vt:lpstr>Anexo 02_7</vt:lpstr>
      <vt:lpstr>Anexo 02_10</vt:lpstr>
      <vt:lpstr>Anexo 02_11</vt:lpstr>
      <vt:lpstr>Anexo 05_1_Emp</vt:lpstr>
      <vt:lpstr>Anexo 05_11_Emp</vt:lpstr>
      <vt:lpstr>'Anexo 02_1'!Area_de_impressao</vt:lpstr>
      <vt:lpstr>'Anexo 02_10'!Area_de_impressao</vt:lpstr>
      <vt:lpstr>'Anexo 02_11'!Area_de_impressao</vt:lpstr>
      <vt:lpstr>'Anexo 02_2'!Area_de_impressao</vt:lpstr>
      <vt:lpstr>'Anexo 02_3'!Area_de_impressao</vt:lpstr>
      <vt:lpstr>'Anexo 02_4'!Area_de_impressao</vt:lpstr>
      <vt:lpstr>'Anexo 02_5'!Area_de_impressao</vt:lpstr>
      <vt:lpstr>'Anexo 02_6'!Area_de_impressao</vt:lpstr>
      <vt:lpstr>'Anexo 02_7'!Area_de_impressao</vt:lpstr>
      <vt:lpstr>'Anexo 05_1_Emp'!Area_de_impressao</vt:lpstr>
      <vt:lpstr>'Anexo 05_11_Emp'!Area_de_impressao</vt:lpstr>
      <vt:lpstr>LICITAÇÃO!Area_de_impressao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Barreto de Negreiros Filho</dc:creator>
  <cp:lastModifiedBy>Jose Barreto de Negreiros Filho</cp:lastModifiedBy>
  <cp:revision>19</cp:revision>
  <cp:lastPrinted>2022-02-01T13:44:40Z</cp:lastPrinted>
  <dcterms:created xsi:type="dcterms:W3CDTF">2012-05-31T13:53:51Z</dcterms:created>
  <dcterms:modified xsi:type="dcterms:W3CDTF">2022-02-01T13:44:49Z</dcterms:modified>
</cp:coreProperties>
</file>