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934" windowHeight="8192" windowWidth="16384" xWindow="0" yWindow="0"/>
  </bookViews>
  <sheets>
    <sheet name="Motorista Motoboy" sheetId="1" state="visible" r:id="rId2"/>
    <sheet name="Memoria de Cálculo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<sst xmlns="http://schemas.openxmlformats.org/spreadsheetml/2006/main" count="423" uniqueCount="237">
  <si>
    <t>ORÇAMENTO ESTIMADO PARA MOTOBOY</t>
  </si>
  <si>
    <t>Discriminação dos Serviços</t>
  </si>
  <si>
    <t>A</t>
  </si>
  <si>
    <t>Data de apresentação da proposta</t>
  </si>
  <si>
    <t>B</t>
  </si>
  <si>
    <t>Município</t>
  </si>
  <si>
    <t>TERESINA</t>
  </si>
  <si>
    <t>C</t>
  </si>
  <si>
    <t>Ano do Acordo, Convenção ou Dissídio Coletivo</t>
  </si>
  <si>
    <t>D</t>
  </si>
  <si>
    <t>Nº de meses de execução contratual</t>
  </si>
  <si>
    <t>Identificação do Serviço</t>
  </si>
  <si>
    <t>Tipo de Serviço: APOIO</t>
  </si>
  <si>
    <t>Unidade de Medida: Área (m2)</t>
  </si>
  <si>
    <t>Quantidade total a contratar (em função da unidade de medida): 01 posto</t>
  </si>
  <si>
    <t>Dados para composição dos custos referentes à mão-de-obra</t>
  </si>
  <si>
    <t>1 Tipo de serviço (mesmo serviço com características distintas)</t>
  </si>
  <si>
    <t>APOIO</t>
  </si>
  <si>
    <t>Classificação Brasileira de Ocupações (CBO)</t>
  </si>
  <si>
    <t>Salário Nominativo da Categoria Profissional</t>
  </si>
  <si>
    <t>Categoria profissional (vinculada à execução contratual)</t>
  </si>
  <si>
    <t>Data base da categoria (dia/mês/ano)</t>
  </si>
  <si>
    <t>MÓDULO 1 - COMPOSIÇÃO DA REMUNERAÇÃO</t>
  </si>
  <si>
    <t>COMPOSIÇÃO DA REMUNERAÇÃO</t>
  </si>
  <si>
    <t>%</t>
  </si>
  <si>
    <t>VALOR (R$)</t>
  </si>
  <si>
    <t>Salário Base</t>
  </si>
  <si>
    <t>Adicional Periculosidade</t>
  </si>
  <si>
    <t>Adicional Insalubridade</t>
  </si>
  <si>
    <t>Adicional Noturno</t>
  </si>
  <si>
    <t>E</t>
  </si>
  <si>
    <t>Adicional de Hora Noturna Reduzida</t>
  </si>
  <si>
    <t>F</t>
  </si>
  <si>
    <t>Adicional de Hora Extra no Feriado Trabalhado</t>
  </si>
  <si>
    <t>G</t>
  </si>
  <si>
    <t>Outros (especificar)</t>
  </si>
  <si>
    <t>TOTAL DO MÓDULO 1</t>
  </si>
  <si>
    <t>MÓDULO 2 – ENCARGOS E BENEFÍCIOS ANUAIS, MENSAIS E DIÁRIOS</t>
  </si>
  <si>
    <t>Submódulo 2.1 - 13º Salário, Férias e Adicional de Férias</t>
  </si>
  <si>
    <r>
      <t xml:space="preserve">13 (Décimo-terceiro) salário</t>
    </r>
    <r>
      <rPr>
        <rFont val="Arial"/>
        <charset val="1"/>
        <family val="2"/>
        <color rgb="FFFF0000"/>
        <sz val="10"/>
      </rPr>
      <t xml:space="preserve"> </t>
    </r>
  </si>
  <si>
    <t>Férias e Adicional de Férias</t>
  </si>
  <si>
    <t>TOTAL A + B</t>
  </si>
  <si>
    <t>Incidência do Submódulo 2.2 sobre o TOTAL A + B</t>
  </si>
  <si>
    <t>TOTAL SUBMÓDULO 2.1</t>
  </si>
  <si>
    <t>Submódulo 2.2 - GPS, FGTS e Outras Contribuições</t>
  </si>
  <si>
    <t>INSS</t>
  </si>
  <si>
    <t>Salário Educação</t>
  </si>
  <si>
    <t>SAT (Seguro Acidente de Trabalho)</t>
  </si>
  <si>
    <t>SESC ou SESI</t>
  </si>
  <si>
    <t>SENAI - SENAC</t>
  </si>
  <si>
    <t>SEBRAE</t>
  </si>
  <si>
    <t>INCRA</t>
  </si>
  <si>
    <t>H</t>
  </si>
  <si>
    <t>FGTS</t>
  </si>
  <si>
    <t>TOTAL SUBMÓDULO 2.2</t>
  </si>
  <si>
    <t>Submódulo 2.3 - Benefícios Mensais e Diários</t>
  </si>
  <si>
    <t>Transporte</t>
  </si>
  <si>
    <t>Auxílio alimentação (vales, cesta básica, entre outros)</t>
  </si>
  <si>
    <t>Assistência médica e familiar (40% a cargo do empregador conforme convenção coletiva 2021 registrada no MTE sob o nº PI00036/2021)</t>
  </si>
  <si>
    <t>Auxílio creche</t>
  </si>
  <si>
    <t>Seguro de vida, invalidez e funeral</t>
  </si>
  <si>
    <t>TOTAL SUBMÓDULO 2.3</t>
  </si>
  <si>
    <t>QUADRO-RESUMO DO MÓDULO 2 - ENCARGOS, BENEFÍCIOS ANUAIS, MENSAIS E DIÁRIOS</t>
  </si>
  <si>
    <t>Módulo 2 - Encargos, Benefícios Anuais, Mensais e Diários</t>
  </si>
  <si>
    <t>2.1</t>
  </si>
  <si>
    <t>13º Salário, Férias e Adicional de Férias</t>
  </si>
  <si>
    <t>2.2</t>
  </si>
  <si>
    <t>GPS, FGTS e Outras Contribuições</t>
  </si>
  <si>
    <t>2.3</t>
  </si>
  <si>
    <t>Benefícios Mensais e Diários</t>
  </si>
  <si>
    <t>TOTAL DO MÓDULO 2</t>
  </si>
  <si>
    <t>MÓDULO 3 – PROVISÃO PARA RESCISÃO</t>
  </si>
  <si>
    <t>Submódulo 3.1 - Aviso Prévio Indenizado.</t>
  </si>
  <si>
    <t>Aviso Prévio Indenizado</t>
  </si>
  <si>
    <t>Incidência do FGTS sobre Aviso Prévio Indenizado</t>
  </si>
  <si>
    <t>Multa do FGTS e Contribuição Social sobre o Aviso Prévio Indenizado</t>
  </si>
  <si>
    <t>TOTAL SUBMÓDULO 3.1</t>
  </si>
  <si>
    <t>Submódulo 3.2 - Aviso Prévio Trabalhado</t>
  </si>
  <si>
    <t>Aviso Prévio Trabalhado</t>
  </si>
  <si>
    <t>Incidência dos encargos do submódulo 2.2 sobre Aviso Prévio Trabalhado</t>
  </si>
  <si>
    <t>Multa do FGTS e Contribuição Social sobre o Aviso Prévio Trabalhado</t>
  </si>
  <si>
    <t>TOTAL SUBMÓDULO 3.2</t>
  </si>
  <si>
    <t>QUADRO-RESUMO DO MÓDULO 3 -  PROVISÃO PARA RESCISÃO</t>
  </si>
  <si>
    <t>MÓDULO 3 -  PROVISÃO PARA RESCISÃO</t>
  </si>
  <si>
    <t>3.1</t>
  </si>
  <si>
    <t>3.2</t>
  </si>
  <si>
    <t>TOTAL DO MÓDULO 3</t>
  </si>
  <si>
    <t>MÓDULO 4 – CUSTO DE REPOSIÇÃO DO PROFISSIONAL AUSENTE</t>
  </si>
  <si>
    <t>Submódulo 4.1 - Ausências Legais</t>
  </si>
  <si>
    <t>Férias</t>
  </si>
  <si>
    <t>Incidência do Submódulo 2.2 sobre Férias</t>
  </si>
  <si>
    <t>Ausência Justificada</t>
  </si>
  <si>
    <t>Ausências Legais</t>
  </si>
  <si>
    <t>Ausência por Doença</t>
  </si>
  <si>
    <t>Licença Paternidade</t>
  </si>
  <si>
    <t>Ausência por Acidente de Trabalho</t>
  </si>
  <si>
    <t>Afastamento Maternidade</t>
  </si>
  <si>
    <t>I</t>
  </si>
  <si>
    <t>Incidência do Submódulo 2.2 sobre os itens C, D, E, F, G, H do submódulo 4.1</t>
  </si>
  <si>
    <t>TOTAL SUBMÓDULO 4.1</t>
  </si>
  <si>
    <t>Submódulo 4.2 - Intrajornada</t>
  </si>
  <si>
    <t>Intervalo para Repouso ou Alimentação</t>
  </si>
  <si>
    <t>Incidência do Submódulo 2.2 sobre Intervalo para Repouso ou Alimentação</t>
  </si>
  <si>
    <t>TOTAL SUBMÓDULO 4.2</t>
  </si>
  <si>
    <t>QUADRO-RESUMO DO MÓDULO 4 - CUSTO DE REPOSIÇÃO DO PROFISSIONAL AUSENTE</t>
  </si>
  <si>
    <t>Módulo 4 - Custo de Reposição do Profissional Ausente</t>
  </si>
  <si>
    <t>4.1</t>
  </si>
  <si>
    <t>4.2</t>
  </si>
  <si>
    <t>Intrajornada</t>
  </si>
  <si>
    <t>TOTAL DO MÓDULO 4</t>
  </si>
  <si>
    <t>MÓDULO 5 – INSUMOS DIVERSOS</t>
  </si>
  <si>
    <t>INSUMOS DIVERSOS</t>
  </si>
  <si>
    <t>Uniformes</t>
  </si>
  <si>
    <t>Materiais</t>
  </si>
  <si>
    <t>Equipamentos</t>
  </si>
  <si>
    <t>TOTAL DO MÓDULO 5</t>
  </si>
  <si>
    <t>SOMA DOS MÓDULOS 1, 2, 3, 4, 5</t>
  </si>
  <si>
    <t>MÓDULO 6 – CUSTOS INDIRETOS, TRIBUTOS E LUCRO</t>
  </si>
  <si>
    <t>CUSTOS INDIRETOS, TRIBUTOS E LUCRO</t>
  </si>
  <si>
    <t>Custos Indiretos</t>
  </si>
  <si>
    <t>Lucro</t>
  </si>
  <si>
    <t>TRIBUTOS</t>
  </si>
  <si>
    <t>C.1. Tributos federais : PIS=1,65% e COFINS=7,60%</t>
  </si>
  <si>
    <t>C.2  Tributos estaduais (especificar)</t>
  </si>
  <si>
    <t>C.3  Tributos municipais  : ISSQN=5,00%</t>
  </si>
  <si>
    <t>TOTAL DO MÓDULO 6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</si>
  <si>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</si>
  <si>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</si>
  <si>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</si>
  <si>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</si>
  <si>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>Quadro Resumo - VALOR MENSAL DOS SERVIÇOS</t>
  </si>
  <si>
    <t>Quadro-Resumo do valor mensal dos serviços</t>
  </si>
  <si>
    <t> Tipo de serviço (A)</t>
  </si>
  <si>
    <t>Valor proposto por empregado
(B)</t>
  </si>
  <si>
    <t>Qtde. de empregados por posto
 (C)</t>
  </si>
  <si>
    <t>Valor proposto por posto
 (D) = (B x C)</t>
  </si>
  <si>
    <t>Qtde. de postos
(E)</t>
  </si>
  <si>
    <t>Valor total do serviço
(F) = (D x E)</t>
  </si>
  <si>
    <t>VALOR MENSAL DOS SERVIÇOS</t>
  </si>
  <si>
    <t>QUADRO DEMONSTRATIVO - VALOR GLOBAL DA PROPOSTA</t>
  </si>
  <si>
    <t>VALOR GLOBAL DA PROPOSTA</t>
  </si>
  <si>
    <t>Descrição</t>
  </si>
  <si>
    <t>Valor (R$)</t>
  </si>
  <si>
    <t>Valor proposto por unidade de medida</t>
  </si>
  <si>
    <t>Valor mensal do serviço</t>
  </si>
  <si>
    <t>Valor Global da Proposta (Valor mensal do serviço multiplicado por 12 meses do contrato)</t>
  </si>
  <si>
    <t>FATOR K</t>
  </si>
  <si>
    <t>Módulo 1: Composição da remuneração Salário Base</t>
  </si>
  <si>
    <t>Motoboy</t>
  </si>
  <si>
    <t>Estado</t>
  </si>
  <si>
    <t>Piauí</t>
  </si>
  <si>
    <t>CCT 2021 – PI000036/2021</t>
  </si>
  <si>
    <t>Módulo 2: Benefícios mensais e diários</t>
  </si>
  <si>
    <t>Submódulo 2.1 : 13º (décimo terceiro) salário e adicional de férias</t>
  </si>
  <si>
    <t>Item</t>
  </si>
  <si>
    <t>Memória de cálculo</t>
  </si>
  <si>
    <t>Fundamento</t>
  </si>
  <si>
    <t>13º Salário</t>
  </si>
  <si>
    <t>[(1/12)x100]</t>
  </si>
  <si>
    <t>Art. 7º, inciso VIII da  Constituição Federal e Parágrafo único , Art. 1º Dec. 57155/65</t>
  </si>
  <si>
    <t>[(1/12)/3x100]</t>
  </si>
  <si>
    <t>Só provisiona o adicional - Art. 7º, inciso XVII da Constituição Federal</t>
  </si>
  <si>
    <t>Total submódulo 2.1</t>
  </si>
  <si>
    <t>Incidência do Submódulo 2.2 sobre o Total do Submódulo 2.1</t>
  </si>
  <si>
    <t>Submódulo 2.2 : Encargos Previdenciários (GPS), Fundo de Garantia por Tempo
de Serviço (FGTS) e outras contribuições.</t>
  </si>
  <si>
    <t>Memória de Cálculo</t>
  </si>
  <si>
    <t>-</t>
  </si>
  <si>
    <t>Art. 22, Inciso I, da Lei nº 8.212/91.</t>
  </si>
  <si>
    <t>Art. 3º, Inciso I, Decreto n.º 87.043/82.</t>
  </si>
  <si>
    <t>Riscos Ambientais do Trabalho RAT X FAP ¹</t>
  </si>
  <si>
    <t>Art. 3º, Lei n.º 8.036/90.</t>
  </si>
  <si>
    <t>Decreto n.º 2.318/86.</t>
  </si>
  <si>
    <t>Art. 8º, Lei n.º 8.029/90 e Lei n.º 8.154/90.</t>
  </si>
  <si>
    <t>Lei n.º 7.787/89 e DL n.º 1.146/70.</t>
  </si>
  <si>
    <t>Art. 15, Lei nº 8.030/90 e Art. 7º, III, CF.</t>
  </si>
  <si>
    <t>Total dos Encargos do submódulo 2.2</t>
  </si>
  <si>
    <t>¹ C – Riscos Ambientais do Trabalho RAT X FAP:
RAT x FAP, em que:
RAT – Varia de acordo coma atividade preponderante aplicação do código CNAE ao Anexo V do Decreto n.º 3.048/1999, de 1% a 3%)
FAP – varia de 0,5 a 2,000, mas adota-se o maior valor possível para o exercício, conforme Decreto n.º 6.957/2009.</t>
  </si>
  <si>
    <t>Observação: A licitante deve preencher o item "C" das planilhas de composição de custos e formação de preços com o valor de seu FAP, a ser comprovado no envio de sua proposta adequada ao lance vencedor, mediante apresentação da GFIP ou outro documento apto a fazê-lo.</t>
  </si>
  <si>
    <t>ORÇAMENTOS</t>
  </si>
  <si>
    <t>Submódulo 2.3 : Encargos Sociais e trabalhistas</t>
  </si>
  <si>
    <t>TERCEIRIZAÇÕES ESTRELAS</t>
  </si>
  <si>
    <t>G KELLY</t>
  </si>
  <si>
    <t>SERVFAZ</t>
  </si>
  <si>
    <t>MÉDIA</t>
  </si>
  <si>
    <t>(4,00 x 2 x 22) - (0,06 x Salário Base) em 2021</t>
  </si>
  <si>
    <t>O vale transporte foi baseado no preço da passagem, trajeto de ida e volta residência/TJPI com uma integração, do transporte coletivo da respectiva capital do estado do Piauí. E permite uma dedução do valor do vale-transporte de 6% que está de acordo com a lei nº 7.418/85 (desconto máximo de 6% do salário-base - Módulo 1 A)</t>
  </si>
  <si>
    <t>O valor do auxílio-alimentação foi calculado com nos valores estabelecidos na Convenção Coletiva da Categoria 2020 registrada no MTE sob o nº  PI000072/2020</t>
  </si>
  <si>
    <t>Assistência médica e familiar (40% a cargo do empregador conforme convenção coletiva 2021/2021 registrada no MTE sob o nº PI00036/2021)</t>
  </si>
  <si>
    <t>Módulo 3: Provisão para rescisão</t>
  </si>
  <si>
    <t>Submódulo 3.1 – Aviso Prévio Indenizado.</t>
  </si>
  <si>
    <t>Estatistica Reversa</t>
  </si>
  <si>
    <r>
      <t xml:space="preserve">Aviso Prévio Indenizado</t>
    </r>
    <r>
      <rPr>
        <rFont val="Calibri"/>
        <charset val="1"/>
        <family val="2"/>
        <b val="true"/>
        <color rgb="FF000000"/>
        <sz val="12"/>
        <vertAlign val="superscript"/>
      </rPr>
      <t xml:space="preserve">1</t>
    </r>
  </si>
  <si>
    <t>Art. 7º, XXI, CF/88, 477, 487 e 491 CLT</t>
  </si>
  <si>
    <t>Súmula n.º 305 do TST</t>
  </si>
  <si>
    <r>
      <t xml:space="preserve">Multa do FGTS e Contribuição Social sobre o Aviso Prévio Indenizado</t>
    </r>
    <r>
      <rPr>
        <rFont val="Calibri"/>
        <charset val="1"/>
        <family val="2"/>
        <b val="true"/>
        <color rgb="FF000000"/>
        <sz val="12"/>
        <vertAlign val="superscript"/>
      </rPr>
      <t xml:space="preserve">2</t>
    </r>
  </si>
  <si>
    <t>Art. 1º, Lei Complementar nº 110/2001 e  § 1º, art 18,  Lei nº 8.036/90</t>
  </si>
  <si>
    <t>Total do Submódulo 3.1</t>
  </si>
  <si>
    <t>Submódulo 3.2 – Aviso Prévio Trabalhado.</t>
  </si>
  <si>
    <r>
      <t xml:space="preserve">Aviso Prévio Trabalhado</t>
    </r>
    <r>
      <rPr>
        <rFont val="Calibri"/>
        <charset val="1"/>
        <family val="2"/>
        <b val="true"/>
        <color rgb="FF000000"/>
        <sz val="12"/>
        <vertAlign val="superscript"/>
      </rPr>
      <t xml:space="preserve">1</t>
    </r>
  </si>
  <si>
    <t>{[(7/30)/12]x100}= 0,%</t>
  </si>
  <si>
    <t>Art. 7º, XXI, CF/88, 477, 487 e 491 CLT.</t>
  </si>
  <si>
    <t>{[(7/30)/12]x100} x Total do submódulo 2.2</t>
  </si>
  <si>
    <r>
      <t xml:space="preserve">Multa do FGTS e Contribuição Social sobre o Aviso Prévio Trabalhado</t>
    </r>
    <r>
      <rPr>
        <rFont val="Calibri"/>
        <charset val="1"/>
        <family val="2"/>
        <b val="true"/>
        <color rgb="FF000000"/>
        <sz val="12"/>
        <vertAlign val="superscript"/>
      </rPr>
      <t xml:space="preserve">2</t>
    </r>
  </si>
  <si>
    <t>Total do Submódulo 3.2</t>
  </si>
  <si>
    <r>
      <t xml:space="preserve">1</t>
    </r>
    <r>
      <rPr>
        <rFont val="Calibri"/>
        <charset val="1"/>
        <family val="2"/>
        <color rgb="FF000000"/>
        <sz val="12"/>
      </rPr>
      <t xml:space="preserve"> Redução de 7 dias ou de 2h por dia. Percentual relativo a contrato de 12 (doze) meses, sendo evento certo ao final do contrato.</t>
    </r>
  </si>
  <si>
    <t>Módulo 4:  Custo de reposição do profissional ausente</t>
  </si>
  <si>
    <r>
      <t xml:space="preserve">Férias</t>
    </r>
    <r>
      <rPr>
        <rFont val="Arial"/>
        <charset val="1"/>
        <family val="2"/>
        <sz val="10"/>
      </rPr>
      <t xml:space="preserve"> </t>
    </r>
  </si>
  <si>
    <t>Art. 7º inciso XVII da Constituição Federal</t>
  </si>
  <si>
    <r>
      <t xml:space="preserve">Ausência Justificada</t>
    </r>
    <r>
      <rPr>
        <rFont val="Calibri"/>
        <charset val="1"/>
        <family val="2"/>
        <b val="true"/>
        <color rgb="FF000000"/>
        <sz val="12"/>
        <vertAlign val="superscript"/>
      </rPr>
      <t xml:space="preserve">1</t>
    </r>
  </si>
  <si>
    <t>Art. 6º , § 1º, da Lei nº 605/49</t>
  </si>
  <si>
    <r>
      <t xml:space="preserve">Ausências Legais</t>
    </r>
    <r>
      <rPr>
        <rFont val="Calibri"/>
        <charset val="1"/>
        <family val="2"/>
        <b val="true"/>
        <color rgb="FF000000"/>
        <sz val="12"/>
        <vertAlign val="superscript"/>
      </rPr>
      <t xml:space="preserve">2</t>
    </r>
  </si>
  <si>
    <t>incisos I, II, X, XI do art. 473 da CLT</t>
  </si>
  <si>
    <r>
      <t xml:space="preserve">Ausência por Doença</t>
    </r>
    <r>
      <rPr>
        <rFont val="Calibri"/>
        <charset val="1"/>
        <family val="2"/>
        <b val="true"/>
        <color rgb="FF000000"/>
        <sz val="12"/>
        <vertAlign val="superscript"/>
      </rPr>
      <t xml:space="preserve">3</t>
    </r>
  </si>
  <si>
    <t>Art. 59 a 64 da Lei n.º 8.213/91.</t>
  </si>
  <si>
    <r>
      <t xml:space="preserve">Licença Paternidade</t>
    </r>
    <r>
      <rPr>
        <rFont val="Calibri"/>
        <charset val="1"/>
        <family val="2"/>
        <b val="true"/>
        <color rgb="FF000000"/>
        <sz val="12"/>
        <vertAlign val="superscript"/>
      </rPr>
      <t xml:space="preserve">4</t>
    </r>
  </si>
  <si>
    <t>Art. 7º, XIX, CF/88 e 10, § 1º, da CLT.</t>
  </si>
  <si>
    <r>
      <t xml:space="preserve">Ausência por Acidente de Trabalho</t>
    </r>
    <r>
      <rPr>
        <rFont val="Arial"/>
        <charset val="1"/>
        <family val="2"/>
        <b val="true"/>
        <sz val="10"/>
        <vertAlign val="superscript"/>
      </rPr>
      <t xml:space="preserve">5</t>
    </r>
  </si>
  <si>
    <t>Art. 19 a 23 da Lei n.º 8.213/91.</t>
  </si>
  <si>
    <r>
      <t xml:space="preserve">Afastamento Maternidade</t>
    </r>
    <r>
      <rPr>
        <rFont val="Calibri"/>
        <charset val="1"/>
        <family val="2"/>
        <b val="true"/>
        <color rgb="FF000000"/>
        <sz val="12"/>
        <vertAlign val="superscript"/>
      </rPr>
      <t xml:space="preserve">6</t>
    </r>
  </si>
  <si>
    <t>Impacto do item férias sobre a licença maternidade, visto que a licença é paga pelo INSS e não gera custo e reposição</t>
  </si>
  <si>
    <t>Total Submódulo 4.1</t>
  </si>
  <si>
    <t>total submódulo 4.2</t>
  </si>
  <si>
    <t>Módulo 5:  Insumos Diversos</t>
  </si>
  <si>
    <t>Valor Médio estimado conforme propostas.</t>
  </si>
  <si>
    <t>EPI</t>
  </si>
  <si>
    <t>Módulo 6 : Custos indiretos, tributos e lucro</t>
  </si>
  <si>
    <t>Lucro e Despesas Indiretas</t>
  </si>
  <si>
    <t>Para fins de estimativa do Tribunal de Justiça do Piauí, o LDI – Lucro e Despesas Indiretas, incluindo todos os impostos e contribuições não repercutíveis, incidentes sobre o total da Remuneração + Encargos Sociais + Insumos, é definido em 8%, enquanto os custos indiretos são definidos em 9%. Sendo os percentuais estimados conforme proposta de fornecedores.</t>
  </si>
  <si>
    <t>Tributação</t>
  </si>
  <si>
    <t>Os tributos (ISS, COFINS e PIS) foram definidos utilizando o regime de tributação de Lucro REAL, a licitante deve elaborar sua proposta e, por conseguinte, sua planilha com base no regime de tributação ao qual estará submetido durante a execução do contrato.</t>
  </si>
  <si>
    <t>Em decorrência do ISSQN, a planilha de custo  poderá sofrer revisões  de acordo com a Lei Tributária do Município onde se realizará a prestação de serviço.</t>
  </si>
  <si>
    <t>A - Despesas Administrativas/Operacionais</t>
  </si>
  <si>
    <t>B - Lucro</t>
  </si>
  <si>
    <t>C - Tributos</t>
  </si>
  <si>
    <t>C.2  Tributos estaduais (especificar</t>
  </si>
  <si>
    <t>Cálculo:</t>
  </si>
  <si>
    <t>{[Total (Remuneração + Encargos Sociais + Insumos) + Total (Lucro e despesas indiretas)] / [1-(COFINS + PIS + ISS)]/100]} x Alíquota</t>
  </si>
</sst>
</file>

<file path=xl/styles.xml><?xml version="1.0" encoding="utf-8"?>
<styleSheet xmlns="http://schemas.openxmlformats.org/spreadsheetml/2006/main">
  <numFmts count="14">
    <numFmt formatCode="GENERAL" numFmtId="164"/>
    <numFmt formatCode="0.000%" numFmtId="165"/>
    <numFmt formatCode="&quot;R$ &quot;#,##0.00" numFmtId="166"/>
    <numFmt formatCode="D/M/YYYY" numFmtId="167"/>
    <numFmt formatCode="#,##0" numFmtId="168"/>
    <numFmt formatCode="0" numFmtId="169"/>
    <numFmt formatCode="_(&quot;R$ &quot;* #,##0.00_);_(&quot;R$ &quot;* \(#,##0.00\);_(&quot;R$ &quot;* \-??_);_(@_)" numFmtId="170"/>
    <numFmt formatCode="_-* #,##0.00_-;\-* #,##0.00_-;_-* \-??_-;_-@_-" numFmtId="171"/>
    <numFmt formatCode="0.00" numFmtId="172"/>
    <numFmt formatCode="#,##0.00" numFmtId="173"/>
    <numFmt formatCode="0.0" numFmtId="174"/>
    <numFmt formatCode="0.00%" numFmtId="175"/>
    <numFmt formatCode="0%" numFmtId="176"/>
    <numFmt formatCode="#,##0.0000" numFmtId="177"/>
  </numFmts>
  <fonts count="24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b val="true"/>
      <sz val="10"/>
    </font>
    <font>
      <name val="Arial"/>
      <charset val="1"/>
      <family val="2"/>
      <color rgb="FF333333"/>
      <sz val="9"/>
    </font>
    <font>
      <name val="Arial"/>
      <charset val="1"/>
      <family val="2"/>
      <color rgb="FF0000FF"/>
      <sz val="8"/>
    </font>
    <font>
      <name val="Arial"/>
      <charset val="1"/>
      <family val="2"/>
      <b val="true"/>
      <sz val="12"/>
    </font>
    <font>
      <name val="Arial"/>
      <charset val="1"/>
      <family val="2"/>
      <color rgb="FFFF0000"/>
      <sz val="10"/>
    </font>
    <font>
      <name val="Arial"/>
      <charset val="1"/>
      <family val="2"/>
      <b val="true"/>
      <color rgb="FF000000"/>
      <sz val="10"/>
    </font>
    <font>
      <name val="Arial"/>
      <charset val="1"/>
      <family val="2"/>
      <color rgb="FF000000"/>
      <sz val="11"/>
    </font>
    <font>
      <name val="Arial"/>
      <charset val="1"/>
      <family val="2"/>
      <color rgb="FF000000"/>
      <sz val="10"/>
    </font>
    <font>
      <name val="Arial"/>
      <charset val="1"/>
      <family val="2"/>
      <b val="true"/>
      <color rgb="FF000000"/>
      <sz val="13"/>
    </font>
    <font>
      <name val="Arial"/>
      <charset val="1"/>
      <family val="2"/>
      <b val="true"/>
      <color rgb="FF000000"/>
      <sz val="12"/>
    </font>
    <font>
      <name val="Arial"/>
      <charset val="1"/>
      <family val="2"/>
      <color rgb="FF000000"/>
      <sz val="12"/>
    </font>
    <font>
      <name val="Arial"/>
      <charset val="1"/>
      <family val="2"/>
      <sz val="16"/>
    </font>
    <font>
      <name val="Arial"/>
      <charset val="1"/>
      <family val="2"/>
      <b val="true"/>
      <sz val="14"/>
    </font>
    <font>
      <name val="Calibri"/>
      <charset val="1"/>
      <family val="2"/>
      <b val="true"/>
      <color rgb="FF000000"/>
      <sz val="12"/>
      <vertAlign val="superscript"/>
    </font>
    <font>
      <name val="Arial"/>
      <charset val="1"/>
      <family val="2"/>
      <color rgb="FF000000"/>
      <sz val="14"/>
    </font>
    <font>
      <name val="Calibri"/>
      <charset val="1"/>
      <family val="2"/>
      <color rgb="FF000000"/>
      <sz val="12"/>
      <vertAlign val="superscript"/>
    </font>
    <font>
      <name val="Calibri"/>
      <charset val="1"/>
      <family val="2"/>
      <color rgb="FF000000"/>
      <sz val="12"/>
    </font>
    <font>
      <name val="Arial"/>
      <charset val="1"/>
      <family val="2"/>
      <b val="true"/>
      <sz val="10"/>
      <vertAlign val="superscript"/>
    </font>
    <font>
      <name val="Arial"/>
      <charset val="1"/>
      <family val="2"/>
      <color rgb="FF0000FF"/>
      <sz val="6"/>
      <u val="single"/>
    </font>
    <font>
      <name val="Arial"/>
      <charset val="1"/>
      <family val="2"/>
      <sz val="1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8C8C9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C8C8C9"/>
      </patternFill>
    </fill>
    <fill>
      <patternFill patternType="solid">
        <fgColor rgb="FFC8C8C9"/>
        <bgColor rgb="FFC0C0C0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hair"/>
      <right style="hair"/>
      <top style="hair"/>
      <bottom style="hair"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true" applyBorder="true" applyFont="true" applyProtection="true" borderId="0" fillId="0" fontId="0" numFmtId="17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42"/>
    <xf applyAlignment="true" applyBorder="true" applyFont="true" applyProtection="true" borderId="0" fillId="0" fontId="0" numFmtId="176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22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0" numFmtId="164">
      <alignment horizontal="general" indent="0" shrinkToFit="false" textRotation="0" vertical="bottom" wrapText="false"/>
      <protection hidden="false" locked="true"/>
    </xf>
  </cellStyleXfs>
  <cellXfs count="140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general" indent="0" shrinkToFit="false" textRotation="0" vertical="bottom" wrapText="true"/>
      <protection hidden="false" locked="true"/>
    </xf>
    <xf applyAlignment="false" applyBorder="false" applyFont="false" applyProtection="false" borderId="0" fillId="0" fontId="0" numFmtId="165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6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true"/>
      <protection hidden="false" locked="true"/>
    </xf>
    <xf applyAlignment="true" applyBorder="false" applyFont="true" applyProtection="false" borderId="0" fillId="0" fontId="0" numFmtId="165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0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1" fillId="0" fontId="0" numFmtId="165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6" xfId="0">
      <alignment horizontal="left" indent="0" shrinkToFit="false" textRotation="0" vertical="bottom" wrapText="false"/>
      <protection hidden="false" locked="true"/>
    </xf>
    <xf applyAlignment="false" applyBorder="true" applyFont="fals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2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2" fontId="4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2" fontId="4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0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7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6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8" xfId="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6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5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6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2" fontId="7" numFmtId="166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0" numFmtId="169" xfId="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1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false" applyProtection="false" borderId="1" fillId="0" fontId="0" numFmtId="165" xfId="0">
      <alignment horizontal="general" indent="0" shrinkToFit="false" textRotation="0" vertical="bottom" wrapText="false"/>
      <protection hidden="false" locked="true"/>
    </xf>
    <xf applyAlignment="true" applyBorder="true" applyFont="false" applyProtection="false" borderId="1" fillId="0" fontId="0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4" numFmtId="165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6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bottom" wrapText="true"/>
      <protection hidden="false" locked="true"/>
    </xf>
    <xf applyAlignment="false" applyBorder="true" applyFont="false" applyProtection="false" borderId="1" fillId="0" fontId="0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3" fontId="4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4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" fillId="3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3" fontId="4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3" fontId="4" numFmtId="166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5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1" fillId="0" fontId="8" numFmtId="170" xfId="17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5" xfId="0">
      <alignment horizontal="right" indent="0" shrinkToFit="false" textRotation="0" vertical="bottom" wrapText="false"/>
      <protection hidden="false" locked="true"/>
    </xf>
    <xf applyAlignment="false" applyBorder="true" applyFont="true" applyProtection="false" borderId="1" fillId="0" fontId="4" numFmtId="166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" fillId="0" fontId="0" numFmtId="171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4" fontId="4" numFmtId="164" xfId="0">
      <alignment horizontal="center" indent="0" shrinkToFit="false" textRotation="0" vertical="center" wrapText="false"/>
      <protection hidden="false" locked="true"/>
    </xf>
    <xf applyAlignment="false" applyBorder="true" applyFont="true" applyProtection="false" borderId="1" fillId="0" fontId="0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5" xfId="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1" fillId="0" fontId="0" numFmtId="165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4" fontId="4" numFmtId="166" xfId="0">
      <alignment horizontal="general" indent="0" shrinkToFit="false" textRotation="0" vertical="bottom" wrapText="false"/>
      <protection hidden="false" locked="true"/>
    </xf>
    <xf applyAlignment="true" applyBorder="true" applyFont="false" applyProtection="false" borderId="1" fillId="0" fontId="0" numFmtId="166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6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" fillId="3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right" indent="0" shrinkToFit="false" textRotation="0" vertical="bottom" wrapText="true"/>
      <protection hidden="false" locked="true"/>
    </xf>
    <xf applyAlignment="true" applyBorder="true" applyFont="true" applyProtection="false" borderId="1" fillId="2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2" fontId="4" numFmtId="164" xfId="0">
      <alignment horizontal="right" indent="0" shrinkToFit="false" textRotation="0" vertical="bottom" wrapText="true"/>
      <protection hidden="false" locked="true"/>
    </xf>
    <xf applyAlignment="true" applyBorder="true" applyFont="true" applyProtection="true" borderId="1" fillId="0" fontId="4" numFmtId="170" xfId="17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4" fontId="4" numFmtId="165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" fillId="0" fontId="0" numFmtId="172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left" indent="0" shrinkToFit="false" textRotation="0" vertical="center" wrapText="true"/>
      <protection hidden="false" locked="true"/>
    </xf>
    <xf applyAlignment="false" applyBorder="true" applyFont="false" applyProtection="false" borderId="1" fillId="0" fontId="0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4" fontId="4" numFmtId="165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3" fontId="9" numFmtId="164" xfId="21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3" fontId="11" numFmtId="164" xfId="21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3" fontId="11" numFmtId="173" xfId="21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3" fontId="11" numFmtId="166" xfId="21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1" fillId="3" fontId="11" numFmtId="166" xfId="21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3" fontId="11" numFmtId="168" xfId="21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3" fontId="11" numFmtId="164" xfId="21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3" fontId="11" numFmtId="164" xfId="21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" fillId="3" fontId="11" numFmtId="164" xfId="21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3" fontId="11" numFmtId="173" xfId="21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" fillId="4" fontId="4" numFmtId="165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4" xfId="0">
      <alignment horizontal="right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7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12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5" fontId="13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3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11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3" fontId="11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3" fontId="11" numFmtId="173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9" numFmtId="173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5" fontId="12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5" fontId="12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14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4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13" numFmtId="164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1" fillId="0" fontId="12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5" fontId="12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5" fontId="12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3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4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1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16" numFmtId="164" xfId="0">
      <alignment horizontal="center" indent="0" shrinkToFit="false" textRotation="0" vertical="center" wrapText="fals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5" fontId="13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0" numFmtId="173" xfId="0">
      <alignment horizontal="left" indent="0" shrinkToFit="false" textRotation="0" vertical="center" wrapText="true"/>
      <protection hidden="false" locked="true"/>
    </xf>
    <xf applyAlignment="true" applyBorder="true" applyFont="false" applyProtection="false" borderId="1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3" fontId="7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1" numFmtId="172" xfId="0">
      <alignment horizontal="center" indent="0" shrinkToFit="false" textRotation="0" vertical="center" wrapText="true"/>
      <protection hidden="false" locked="true"/>
    </xf>
    <xf applyAlignment="true" applyBorder="true" applyFont="false" applyProtection="false" borderId="1" fillId="0" fontId="0" numFmtId="173" xfId="0">
      <alignment horizontal="left" indent="0" shrinkToFit="false" textRotation="0" vertical="center" wrapText="true"/>
      <protection hidden="false" locked="true"/>
    </xf>
    <xf applyAlignment="true" applyBorder="true" applyFont="false" applyProtection="false" borderId="1" fillId="0" fontId="0" numFmtId="166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3" fontId="11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1" fillId="0" fontId="0" numFmtId="173" xfId="0">
      <alignment horizontal="right" indent="0" shrinkToFit="false" textRotation="0" vertical="center" wrapText="false"/>
      <protection hidden="false" locked="true"/>
    </xf>
    <xf applyAlignment="true" applyBorder="true" applyFont="false" applyProtection="false" borderId="1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1" fillId="0" fontId="0" numFmtId="165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1" fillId="0" fontId="0" numFmtId="175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4" numFmtId="175" xfId="0">
      <alignment horizontal="left" indent="0" shrinkToFit="false" textRotation="0" vertical="center" wrapText="true"/>
      <protection hidden="false" locked="true"/>
    </xf>
    <xf applyAlignment="true" applyBorder="true" applyFont="false" applyProtection="true" borderId="1" fillId="0" fontId="0" numFmtId="175" xfId="19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8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14" numFmtId="164" xfId="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" fillId="0" fontId="0" numFmtId="175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9" numFmtId="164" xfId="0">
      <alignment horizontal="left" indent="0" shrinkToFit="false" textRotation="0" vertical="center" wrapText="true"/>
      <protection hidden="false" locked="true"/>
    </xf>
    <xf applyAlignment="true" applyBorder="false" applyFont="true" applyProtection="false" borderId="0" fillId="0" fontId="14" numFmtId="164" xfId="0">
      <alignment horizontal="general" indent="0" shrinkToFit="false" textRotation="0" vertical="center" wrapText="true"/>
      <protection hidden="false" locked="true"/>
    </xf>
    <xf applyAlignment="true" applyBorder="true" applyFont="false" applyProtection="false" borderId="1" fillId="0" fontId="0" numFmtId="177" xfId="0">
      <alignment horizontal="center" indent="0" shrinkToFit="false" textRotation="0" vertical="center" wrapText="false"/>
      <protection hidden="false" locked="true"/>
    </xf>
    <xf applyAlignment="true" applyBorder="true" applyFont="false" applyProtection="true" borderId="1" fillId="0" fontId="22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23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3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4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3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0" fontId="14" numFmtId="164" xfId="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1" fillId="0" fontId="13" numFmtId="164" xfId="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1" fillId="0" fontId="13" numFmtId="164" xfId="0">
      <alignment horizontal="left" indent="0" shrinkToFit="false" textRotation="0" vertical="center" wrapText="false"/>
      <protection hidden="false" locked="true"/>
    </xf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Normal 3" xfId="21"/>
    <cellStyle builtinId="8" customBuiltin="false" name="*unknown*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C8C8C9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65536"/>
  <sheetViews>
    <sheetView colorId="64" defaultGridColor="true" rightToLeft="false" showFormulas="false" showGridLines="true" showOutlineSymbols="true" showRowColHeaders="true" showZeros="true" tabSelected="true" topLeftCell="A118" view="normal" windowProtection="false" workbookViewId="0" zoomScale="110" zoomScaleNormal="110" zoomScalePageLayoutView="100">
      <selection activeCell="E21" activeCellId="0" pane="topLeft" sqref="E21"/>
    </sheetView>
  </sheetViews>
  <sheetFormatPr defaultRowHeight="13.15"/>
  <cols>
    <col collapsed="false" hidden="false" max="1" min="1" style="0" width="3.41836734693878"/>
    <col collapsed="false" hidden="false" max="2" min="2" style="1" width="51.1428571428572"/>
    <col collapsed="false" hidden="false" max="3" min="3" style="2" width="17.1428571428571"/>
    <col collapsed="false" hidden="false" max="4" min="4" style="3" width="13.2857142857143"/>
    <col collapsed="false" hidden="false" max="5" min="5" style="0" width="33.1428571428571"/>
    <col collapsed="false" hidden="false" max="6" min="6" style="0" width="15.8571428571429"/>
    <col collapsed="false" hidden="false" max="7" min="7" style="0" width="16.2908163265306"/>
    <col collapsed="false" hidden="false" max="1025" min="8" style="0" width="8.72959183673469"/>
  </cols>
  <sheetData>
    <row collapsed="false" customFormat="false" customHeight="false" hidden="false" ht="12.75" outlineLevel="0" r="1">
      <c r="A1" s="4"/>
      <c r="B1" s="5"/>
      <c r="C1" s="6"/>
      <c r="D1" s="7"/>
    </row>
    <row collapsed="false" customFormat="false" customHeight="false" hidden="false" ht="12.85" outlineLevel="0" r="2">
      <c r="A2" s="8" t="s">
        <v>0</v>
      </c>
      <c r="B2" s="8"/>
      <c r="C2" s="8"/>
      <c r="D2" s="8"/>
    </row>
    <row collapsed="false" customFormat="false" customHeight="false" hidden="false" ht="12.85" outlineLevel="0" r="3">
      <c r="A3" s="9"/>
      <c r="B3" s="10"/>
      <c r="C3" s="11"/>
      <c r="D3" s="12"/>
      <c r="E3" s="13"/>
      <c r="F3" s="13"/>
      <c r="G3" s="13"/>
    </row>
    <row collapsed="false" customFormat="false" customHeight="false" hidden="false" ht="12.85" outlineLevel="0" r="4">
      <c r="A4" s="14" t="s">
        <v>1</v>
      </c>
      <c r="B4" s="14"/>
      <c r="C4" s="15"/>
      <c r="D4" s="16"/>
      <c r="E4" s="13"/>
      <c r="F4" s="13"/>
      <c r="G4" s="13"/>
    </row>
    <row collapsed="false" customFormat="false" customHeight="false" hidden="false" ht="13.4" outlineLevel="0" r="5">
      <c r="A5" s="17" t="s">
        <v>2</v>
      </c>
      <c r="B5" s="18" t="s">
        <v>3</v>
      </c>
      <c r="C5" s="19"/>
      <c r="D5" s="20" t="n">
        <v>44379</v>
      </c>
      <c r="E5" s="13"/>
      <c r="F5" s="13"/>
      <c r="G5" s="13"/>
    </row>
    <row collapsed="false" customFormat="false" customHeight="false" hidden="false" ht="13.4" outlineLevel="0" r="6">
      <c r="A6" s="17" t="s">
        <v>4</v>
      </c>
      <c r="B6" s="18" t="s">
        <v>5</v>
      </c>
      <c r="C6" s="19"/>
      <c r="D6" s="21" t="s">
        <v>6</v>
      </c>
      <c r="E6" s="13"/>
      <c r="F6" s="13"/>
      <c r="G6" s="13"/>
    </row>
    <row collapsed="false" customFormat="false" customHeight="false" hidden="false" ht="13.4" outlineLevel="0" r="7">
      <c r="A7" s="17" t="s">
        <v>7</v>
      </c>
      <c r="B7" s="18" t="s">
        <v>8</v>
      </c>
      <c r="C7" s="19"/>
      <c r="D7" s="17" t="n">
        <v>2021</v>
      </c>
      <c r="E7" s="13"/>
      <c r="F7" s="13"/>
      <c r="G7" s="13"/>
    </row>
    <row collapsed="false" customFormat="false" customHeight="false" hidden="false" ht="13.4" outlineLevel="0" r="8">
      <c r="A8" s="17" t="s">
        <v>9</v>
      </c>
      <c r="B8" s="18" t="s">
        <v>10</v>
      </c>
      <c r="C8" s="19"/>
      <c r="D8" s="22" t="n">
        <v>12</v>
      </c>
      <c r="E8" s="13"/>
      <c r="F8" s="13"/>
      <c r="G8" s="13"/>
    </row>
    <row collapsed="false" customFormat="false" customHeight="false" hidden="false" ht="12.85" outlineLevel="0" r="9">
      <c r="A9" s="17"/>
      <c r="B9" s="10"/>
      <c r="C9" s="11"/>
      <c r="D9" s="12"/>
      <c r="E9" s="13"/>
      <c r="F9" s="13"/>
      <c r="G9" s="13"/>
    </row>
    <row collapsed="false" customFormat="false" customHeight="false" hidden="false" ht="12.85" outlineLevel="0" r="10">
      <c r="A10" s="14" t="s">
        <v>11</v>
      </c>
      <c r="B10" s="14"/>
      <c r="C10" s="15"/>
      <c r="D10" s="16"/>
      <c r="E10" s="13"/>
      <c r="F10" s="13"/>
      <c r="G10" s="13"/>
    </row>
    <row collapsed="false" customFormat="false" customHeight="false" hidden="false" ht="12.85" outlineLevel="0" r="11">
      <c r="A11" s="23"/>
      <c r="B11" s="24" t="s">
        <v>12</v>
      </c>
      <c r="C11" s="19"/>
      <c r="D11" s="25"/>
      <c r="E11" s="13"/>
      <c r="F11" s="13"/>
      <c r="G11" s="13"/>
    </row>
    <row collapsed="false" customFormat="false" customHeight="false" hidden="false" ht="12.85" outlineLevel="0" r="12">
      <c r="A12" s="23"/>
      <c r="B12" s="24" t="s">
        <v>13</v>
      </c>
      <c r="C12" s="19"/>
      <c r="D12" s="25"/>
      <c r="E12" s="13"/>
      <c r="F12" s="13"/>
      <c r="G12" s="13"/>
    </row>
    <row collapsed="false" customFormat="false" customHeight="false" hidden="false" ht="12.85" outlineLevel="0" r="13">
      <c r="A13" s="23"/>
      <c r="B13" s="24" t="s">
        <v>14</v>
      </c>
      <c r="C13" s="19"/>
      <c r="D13" s="25"/>
      <c r="E13" s="26"/>
      <c r="F13" s="13"/>
      <c r="G13" s="13"/>
    </row>
    <row collapsed="false" customFormat="false" customHeight="false" hidden="false" ht="12.85" outlineLevel="0" r="14">
      <c r="A14" s="24"/>
      <c r="B14" s="18"/>
      <c r="C14" s="19"/>
      <c r="D14" s="25"/>
      <c r="E14" s="27"/>
      <c r="F14" s="13"/>
      <c r="G14" s="13"/>
    </row>
    <row collapsed="false" customFormat="false" customHeight="false" hidden="false" ht="12.85" outlineLevel="0" r="15">
      <c r="A15" s="17"/>
      <c r="B15" s="10"/>
      <c r="C15" s="11"/>
      <c r="D15" s="12"/>
      <c r="E15" s="13"/>
      <c r="F15" s="13"/>
      <c r="G15" s="13"/>
    </row>
    <row collapsed="false" customFormat="false" customHeight="false" hidden="false" ht="15.25" outlineLevel="0" r="16">
      <c r="A16" s="14" t="s">
        <v>15</v>
      </c>
      <c r="B16" s="14"/>
      <c r="C16" s="14"/>
      <c r="D16" s="28"/>
      <c r="E16" s="13"/>
      <c r="F16" s="13"/>
      <c r="G16" s="13"/>
    </row>
    <row collapsed="false" customFormat="false" customHeight="false" hidden="false" ht="12.85" outlineLevel="0" r="17">
      <c r="A17" s="29" t="s">
        <v>16</v>
      </c>
      <c r="B17" s="29"/>
      <c r="C17" s="19"/>
      <c r="D17" s="21" t="s">
        <v>17</v>
      </c>
      <c r="E17" s="13"/>
      <c r="F17" s="13"/>
      <c r="G17" s="13"/>
    </row>
    <row collapsed="false" customFormat="false" customHeight="false" hidden="false" ht="13.4" outlineLevel="0" r="18">
      <c r="A18" s="17" t="n">
        <v>2</v>
      </c>
      <c r="B18" s="18" t="s">
        <v>18</v>
      </c>
      <c r="C18" s="19"/>
      <c r="D18" s="30" t="n">
        <v>7823</v>
      </c>
      <c r="E18" s="13"/>
      <c r="F18" s="13"/>
      <c r="G18" s="13"/>
    </row>
    <row collapsed="false" customFormat="false" customHeight="false" hidden="false" ht="13.4" outlineLevel="0" r="19">
      <c r="A19" s="17" t="n">
        <v>3</v>
      </c>
      <c r="B19" s="18" t="s">
        <v>19</v>
      </c>
      <c r="C19" s="19"/>
      <c r="D19" s="21" t="n">
        <f aca="false">'Memoria de Cálculo'!C4</f>
        <v>1164.7</v>
      </c>
      <c r="E19" s="13"/>
      <c r="F19" s="13"/>
      <c r="G19" s="13"/>
    </row>
    <row collapsed="false" customFormat="false" customHeight="false" hidden="false" ht="13.4" outlineLevel="0" r="20">
      <c r="A20" s="17" t="n">
        <v>4</v>
      </c>
      <c r="B20" s="18" t="s">
        <v>20</v>
      </c>
      <c r="C20" s="19"/>
      <c r="D20" s="21" t="str">
        <f aca="false">'Memoria de Cálculo'!A2</f>
        <v>Motoboy</v>
      </c>
      <c r="E20" s="13"/>
      <c r="F20" s="13"/>
      <c r="G20" s="13"/>
    </row>
    <row collapsed="false" customFormat="false" customHeight="false" hidden="false" ht="13.4" outlineLevel="0" r="21">
      <c r="A21" s="17" t="n">
        <v>5</v>
      </c>
      <c r="B21" s="18" t="s">
        <v>21</v>
      </c>
      <c r="C21" s="19"/>
      <c r="D21" s="20" t="n">
        <v>44197</v>
      </c>
      <c r="E21" s="13"/>
      <c r="F21" s="13"/>
      <c r="G21" s="13"/>
    </row>
    <row collapsed="false" customFormat="false" customHeight="false" hidden="false" ht="12.85" outlineLevel="0" r="22">
      <c r="A22" s="24"/>
      <c r="B22" s="31"/>
      <c r="C22" s="32"/>
      <c r="D22" s="33"/>
      <c r="E22" s="13"/>
      <c r="F22" s="13"/>
      <c r="G22" s="13"/>
    </row>
    <row collapsed="false" customFormat="false" customHeight="false" hidden="false" ht="12.85" outlineLevel="0" r="23">
      <c r="A23" s="14" t="s">
        <v>22</v>
      </c>
      <c r="B23" s="14"/>
      <c r="C23" s="15"/>
      <c r="D23" s="16"/>
      <c r="E23" s="13"/>
      <c r="F23" s="13"/>
      <c r="G23" s="13"/>
    </row>
    <row collapsed="false" customFormat="false" customHeight="false" hidden="false" ht="13.4" outlineLevel="0" r="24">
      <c r="A24" s="34" t="n">
        <v>1</v>
      </c>
      <c r="B24" s="35" t="s">
        <v>23</v>
      </c>
      <c r="C24" s="36" t="s">
        <v>24</v>
      </c>
      <c r="D24" s="37" t="s">
        <v>25</v>
      </c>
      <c r="E24" s="13"/>
      <c r="F24" s="13"/>
      <c r="G24" s="13"/>
    </row>
    <row collapsed="false" customFormat="false" customHeight="false" hidden="false" ht="13.4" outlineLevel="0" r="25">
      <c r="A25" s="34" t="s">
        <v>2</v>
      </c>
      <c r="B25" s="18" t="s">
        <v>26</v>
      </c>
      <c r="C25" s="19"/>
      <c r="D25" s="25" t="n">
        <f aca="false">D19</f>
        <v>1164.7</v>
      </c>
      <c r="E25" s="13"/>
      <c r="F25" s="13"/>
      <c r="G25" s="13"/>
    </row>
    <row collapsed="false" customFormat="false" customHeight="false" hidden="false" ht="13.4" outlineLevel="0" r="26">
      <c r="A26" s="34" t="s">
        <v>4</v>
      </c>
      <c r="B26" s="18" t="s">
        <v>27</v>
      </c>
      <c r="C26" s="19" t="n">
        <v>0.3</v>
      </c>
      <c r="D26" s="25" t="n">
        <f aca="false">D25*C26</f>
        <v>349.41</v>
      </c>
      <c r="E26" s="13"/>
      <c r="F26" s="13"/>
      <c r="G26" s="13"/>
    </row>
    <row collapsed="false" customFormat="false" customHeight="false" hidden="false" ht="13.4" outlineLevel="0" r="27">
      <c r="A27" s="34" t="s">
        <v>7</v>
      </c>
      <c r="B27" s="18" t="s">
        <v>28</v>
      </c>
      <c r="C27" s="19"/>
      <c r="D27" s="25"/>
      <c r="E27" s="13"/>
      <c r="F27" s="13"/>
      <c r="G27" s="13"/>
    </row>
    <row collapsed="false" customFormat="false" customHeight="false" hidden="false" ht="13.4" outlineLevel="0" r="28">
      <c r="A28" s="34" t="s">
        <v>9</v>
      </c>
      <c r="B28" s="18" t="s">
        <v>29</v>
      </c>
      <c r="C28" s="19"/>
      <c r="D28" s="25"/>
      <c r="E28" s="13"/>
      <c r="F28" s="13"/>
      <c r="G28" s="13"/>
    </row>
    <row collapsed="false" customFormat="false" customHeight="false" hidden="false" ht="13.4" outlineLevel="0" r="29">
      <c r="A29" s="34" t="s">
        <v>30</v>
      </c>
      <c r="B29" s="18" t="s">
        <v>31</v>
      </c>
      <c r="C29" s="19"/>
      <c r="D29" s="25"/>
      <c r="E29" s="13"/>
      <c r="F29" s="13"/>
      <c r="G29" s="13"/>
    </row>
    <row collapsed="false" customFormat="false" customHeight="false" hidden="false" ht="13.4" outlineLevel="0" r="30">
      <c r="A30" s="34" t="s">
        <v>32</v>
      </c>
      <c r="B30" s="18" t="s">
        <v>33</v>
      </c>
      <c r="C30" s="19"/>
      <c r="D30" s="25"/>
      <c r="E30" s="13"/>
      <c r="F30" s="13"/>
      <c r="G30" s="13"/>
    </row>
    <row collapsed="false" customFormat="false" customHeight="false" hidden="false" ht="13.4" outlineLevel="0" r="31">
      <c r="A31" s="34" t="s">
        <v>34</v>
      </c>
      <c r="B31" s="18" t="s">
        <v>35</v>
      </c>
      <c r="C31" s="19"/>
      <c r="D31" s="25"/>
      <c r="E31" s="13"/>
      <c r="F31" s="13"/>
      <c r="G31" s="13"/>
    </row>
    <row collapsed="false" customFormat="false" customHeight="false" hidden="false" ht="12.85" outlineLevel="0" r="32">
      <c r="A32" s="38"/>
      <c r="B32" s="38" t="s">
        <v>36</v>
      </c>
      <c r="C32" s="39"/>
      <c r="D32" s="40" t="n">
        <f aca="false">SUM(D25:D31)</f>
        <v>1514.11</v>
      </c>
      <c r="E32" s="13"/>
      <c r="F32" s="13"/>
      <c r="G32" s="13"/>
    </row>
    <row collapsed="false" customFormat="false" customHeight="false" hidden="false" ht="12.85" outlineLevel="0" r="33">
      <c r="A33" s="34"/>
      <c r="B33" s="41"/>
      <c r="C33" s="36"/>
      <c r="D33" s="37"/>
      <c r="E33" s="13"/>
      <c r="F33" s="13"/>
      <c r="G33" s="13"/>
    </row>
    <row collapsed="false" customFormat="false" customHeight="false" hidden="false" ht="12.85" outlineLevel="0" r="34">
      <c r="A34" s="14" t="s">
        <v>37</v>
      </c>
      <c r="B34" s="14"/>
      <c r="C34" s="14"/>
      <c r="D34" s="16"/>
      <c r="E34" s="42"/>
      <c r="F34" s="13"/>
      <c r="G34" s="13"/>
    </row>
    <row collapsed="false" customFormat="false" customHeight="false" hidden="false" ht="12.85" outlineLevel="0" r="35">
      <c r="A35" s="38" t="s">
        <v>38</v>
      </c>
      <c r="B35" s="35"/>
      <c r="C35" s="36" t="s">
        <v>24</v>
      </c>
      <c r="D35" s="37" t="s">
        <v>25</v>
      </c>
      <c r="E35" s="13"/>
      <c r="F35" s="13"/>
      <c r="G35" s="13"/>
    </row>
    <row collapsed="false" customFormat="false" customHeight="false" hidden="false" ht="13.4" outlineLevel="0" r="36">
      <c r="A36" s="34" t="s">
        <v>2</v>
      </c>
      <c r="B36" s="18" t="s">
        <v>39</v>
      </c>
      <c r="C36" s="19" t="n">
        <f aca="false">'Memoria de Cálculo'!C11</f>
        <v>0.0833333333333333</v>
      </c>
      <c r="D36" s="25" t="n">
        <f aca="false">C36*$D$32</f>
        <v>126.175833333333</v>
      </c>
      <c r="E36" s="42"/>
      <c r="F36" s="13"/>
      <c r="G36" s="13"/>
    </row>
    <row collapsed="false" customFormat="false" customHeight="false" hidden="false" ht="13.4" outlineLevel="0" r="37">
      <c r="A37" s="34" t="s">
        <v>4</v>
      </c>
      <c r="B37" s="18" t="s">
        <v>40</v>
      </c>
      <c r="C37" s="19" t="n">
        <f aca="false">'Memoria de Cálculo'!C12</f>
        <v>0.0277777777777778</v>
      </c>
      <c r="D37" s="25" t="n">
        <f aca="false">C37*$D$32</f>
        <v>42.0586111111111</v>
      </c>
      <c r="E37" s="42"/>
      <c r="F37" s="13"/>
      <c r="G37" s="13"/>
    </row>
    <row collapsed="false" customFormat="false" customHeight="false" hidden="false" ht="12.85" outlineLevel="0" r="38">
      <c r="A38" s="38"/>
      <c r="B38" s="38" t="s">
        <v>41</v>
      </c>
      <c r="C38" s="19" t="n">
        <f aca="false">C37+C36</f>
        <v>0.111111111111111</v>
      </c>
      <c r="D38" s="25" t="n">
        <f aca="false">D37+D36</f>
        <v>168.234444444444</v>
      </c>
      <c r="E38" s="13"/>
      <c r="F38" s="13"/>
      <c r="G38" s="13"/>
    </row>
    <row collapsed="false" customFormat="false" customHeight="false" hidden="false" ht="13.4" outlineLevel="0" r="39">
      <c r="A39" s="34" t="s">
        <v>7</v>
      </c>
      <c r="B39" s="43" t="s">
        <v>42</v>
      </c>
      <c r="C39" s="19" t="n">
        <f aca="false">C38*C51</f>
        <v>0.0442222222222222</v>
      </c>
      <c r="D39" s="25" t="n">
        <f aca="false">D38*C51</f>
        <v>66.9573088888889</v>
      </c>
      <c r="E39" s="13"/>
      <c r="F39" s="13"/>
      <c r="G39" s="13"/>
    </row>
    <row collapsed="false" customFormat="false" customHeight="false" hidden="false" ht="12.85" outlineLevel="0" r="40">
      <c r="A40" s="38"/>
      <c r="B40" s="44" t="s">
        <v>43</v>
      </c>
      <c r="C40" s="19" t="n">
        <f aca="false">C39+C38</f>
        <v>0.155333333333333</v>
      </c>
      <c r="D40" s="25" t="n">
        <f aca="false">D39+D38</f>
        <v>235.191753333333</v>
      </c>
      <c r="E40" s="13"/>
      <c r="F40" s="13"/>
      <c r="G40" s="13"/>
    </row>
    <row collapsed="false" customFormat="false" customHeight="false" hidden="false" ht="12.85" outlineLevel="0" r="41">
      <c r="A41" s="45"/>
      <c r="B41" s="43"/>
      <c r="C41" s="46"/>
      <c r="D41" s="47"/>
      <c r="E41" s="13"/>
      <c r="F41" s="13"/>
      <c r="G41" s="13"/>
    </row>
    <row collapsed="false" customFormat="false" customHeight="false" hidden="false" ht="12.85" outlineLevel="0" r="42">
      <c r="A42" s="38" t="s">
        <v>44</v>
      </c>
      <c r="B42" s="35"/>
      <c r="C42" s="36" t="s">
        <v>24</v>
      </c>
      <c r="D42" s="37" t="s">
        <v>25</v>
      </c>
      <c r="E42" s="48"/>
      <c r="F42" s="49"/>
      <c r="G42" s="13"/>
    </row>
    <row collapsed="false" customFormat="false" customHeight="false" hidden="false" ht="13.4" outlineLevel="0" r="43">
      <c r="A43" s="34" t="s">
        <v>2</v>
      </c>
      <c r="B43" s="18" t="s">
        <v>45</v>
      </c>
      <c r="C43" s="50" t="n">
        <f aca="false">'Memoria de Cálculo'!C18</f>
        <v>0.2</v>
      </c>
      <c r="D43" s="25" t="n">
        <f aca="false">C43*$D$32</f>
        <v>302.822</v>
      </c>
      <c r="E43" s="51"/>
      <c r="F43" s="49"/>
      <c r="G43" s="13"/>
    </row>
    <row collapsed="false" customFormat="false" customHeight="false" hidden="false" ht="13.4" outlineLevel="0" r="44">
      <c r="A44" s="34" t="s">
        <v>4</v>
      </c>
      <c r="B44" s="18" t="s">
        <v>46</v>
      </c>
      <c r="C44" s="50" t="n">
        <f aca="false">'Memoria de Cálculo'!C19</f>
        <v>0.025</v>
      </c>
      <c r="D44" s="25" t="n">
        <f aca="false">C44*$D$32</f>
        <v>37.85275</v>
      </c>
      <c r="E44" s="48"/>
      <c r="F44" s="13"/>
      <c r="G44" s="13"/>
    </row>
    <row collapsed="false" customFormat="false" customHeight="false" hidden="false" ht="13.4" outlineLevel="0" r="45">
      <c r="A45" s="34" t="s">
        <v>7</v>
      </c>
      <c r="B45" s="18" t="s">
        <v>47</v>
      </c>
      <c r="C45" s="50" t="n">
        <f aca="false">'Memoria de Cálculo'!C20</f>
        <v>0.06</v>
      </c>
      <c r="D45" s="25" t="n">
        <f aca="false">C45*$D$32</f>
        <v>90.8466</v>
      </c>
      <c r="E45" s="52"/>
      <c r="F45" s="13"/>
      <c r="G45" s="13"/>
    </row>
    <row collapsed="false" customFormat="false" customHeight="false" hidden="false" ht="13.4" outlineLevel="0" r="46">
      <c r="A46" s="34" t="s">
        <v>9</v>
      </c>
      <c r="B46" s="18" t="s">
        <v>48</v>
      </c>
      <c r="C46" s="50" t="n">
        <f aca="false">'Memoria de Cálculo'!C21</f>
        <v>0.015</v>
      </c>
      <c r="D46" s="25" t="n">
        <f aca="false">C46*$D$32</f>
        <v>22.71165</v>
      </c>
      <c r="E46" s="13"/>
      <c r="F46" s="13"/>
      <c r="G46" s="13"/>
    </row>
    <row collapsed="false" customFormat="false" customHeight="false" hidden="false" ht="13.4" outlineLevel="0" r="47">
      <c r="A47" s="34" t="s">
        <v>30</v>
      </c>
      <c r="B47" s="18" t="s">
        <v>49</v>
      </c>
      <c r="C47" s="50" t="n">
        <f aca="false">'Memoria de Cálculo'!C22</f>
        <v>0.01</v>
      </c>
      <c r="D47" s="25" t="n">
        <f aca="false">C47*$D$32</f>
        <v>15.1411</v>
      </c>
      <c r="E47" s="13"/>
      <c r="F47" s="13"/>
      <c r="G47" s="13"/>
    </row>
    <row collapsed="false" customFormat="false" customHeight="false" hidden="false" ht="13.4" outlineLevel="0" r="48">
      <c r="A48" s="34" t="s">
        <v>32</v>
      </c>
      <c r="B48" s="18" t="s">
        <v>50</v>
      </c>
      <c r="C48" s="50" t="n">
        <f aca="false">'Memoria de Cálculo'!C23</f>
        <v>0.006</v>
      </c>
      <c r="D48" s="25" t="n">
        <f aca="false">C48*$D$32</f>
        <v>9.08466</v>
      </c>
      <c r="E48" s="13"/>
      <c r="F48" s="13"/>
      <c r="G48" s="13"/>
    </row>
    <row collapsed="false" customFormat="false" customHeight="false" hidden="false" ht="13.4" outlineLevel="0" r="49">
      <c r="A49" s="34" t="s">
        <v>34</v>
      </c>
      <c r="B49" s="18" t="s">
        <v>51</v>
      </c>
      <c r="C49" s="50" t="n">
        <f aca="false">'Memoria de Cálculo'!C24</f>
        <v>0.002</v>
      </c>
      <c r="D49" s="25" t="n">
        <f aca="false">C49*$D$32</f>
        <v>3.02822</v>
      </c>
      <c r="E49" s="13"/>
      <c r="F49" s="13"/>
      <c r="G49" s="13"/>
    </row>
    <row collapsed="false" customFormat="false" customHeight="false" hidden="false" ht="13.4" outlineLevel="0" r="50">
      <c r="A50" s="34" t="s">
        <v>52</v>
      </c>
      <c r="B50" s="18" t="s">
        <v>53</v>
      </c>
      <c r="C50" s="50" t="n">
        <f aca="false">'Memoria de Cálculo'!C25</f>
        <v>0.08</v>
      </c>
      <c r="D50" s="25" t="n">
        <f aca="false">C50*$D$32</f>
        <v>121.1288</v>
      </c>
      <c r="E50" s="13"/>
      <c r="F50" s="13"/>
      <c r="G50" s="13"/>
    </row>
    <row collapsed="false" customFormat="false" customHeight="false" hidden="false" ht="12.85" outlineLevel="0" r="51">
      <c r="A51" s="38"/>
      <c r="B51" s="44" t="s">
        <v>54</v>
      </c>
      <c r="C51" s="53" t="n">
        <f aca="false">SUM(C43:C50)</f>
        <v>0.398</v>
      </c>
      <c r="D51" s="54" t="n">
        <f aca="false">SUM(D43:D50)</f>
        <v>602.61578</v>
      </c>
      <c r="E51" s="55"/>
      <c r="F51" s="13"/>
      <c r="G51" s="13"/>
    </row>
    <row collapsed="false" customFormat="false" customHeight="false" hidden="false" ht="12.85" outlineLevel="0" r="52">
      <c r="A52" s="45"/>
      <c r="B52" s="43"/>
      <c r="C52" s="46"/>
      <c r="D52" s="47"/>
      <c r="E52" s="13"/>
      <c r="F52" s="13"/>
      <c r="G52" s="13"/>
    </row>
    <row collapsed="false" customFormat="false" customHeight="false" hidden="false" ht="12.85" outlineLevel="0" r="53">
      <c r="A53" s="38" t="s">
        <v>55</v>
      </c>
      <c r="B53" s="35"/>
      <c r="C53" s="39"/>
      <c r="D53" s="37" t="s">
        <v>25</v>
      </c>
      <c r="E53" s="13"/>
      <c r="F53" s="13"/>
      <c r="G53" s="13"/>
    </row>
    <row collapsed="false" customFormat="false" customHeight="false" hidden="false" ht="13.4" outlineLevel="0" r="54">
      <c r="A54" s="34" t="s">
        <v>2</v>
      </c>
      <c r="B54" s="18" t="s">
        <v>56</v>
      </c>
      <c r="C54" s="32"/>
      <c r="D54" s="25" t="n">
        <f aca="false">(4*2*22)-(0.06*D19)</f>
        <v>106.118</v>
      </c>
      <c r="E54" s="13"/>
      <c r="F54" s="13"/>
      <c r="G54" s="13"/>
    </row>
    <row collapsed="false" customFormat="false" customHeight="false" hidden="false" ht="13.4" outlineLevel="0" r="55">
      <c r="A55" s="34" t="s">
        <v>4</v>
      </c>
      <c r="B55" s="18" t="s">
        <v>57</v>
      </c>
      <c r="C55" s="19"/>
      <c r="D55" s="25" t="n">
        <f aca="false">'Memoria de Cálculo'!C33</f>
        <v>348.21</v>
      </c>
      <c r="E55" s="13"/>
      <c r="F55" s="13"/>
      <c r="G55" s="13"/>
    </row>
    <row collapsed="false" customFormat="false" customHeight="false" hidden="false" ht="37.3" outlineLevel="0" r="56">
      <c r="A56" s="34" t="s">
        <v>7</v>
      </c>
      <c r="B56" s="18" t="s">
        <v>58</v>
      </c>
      <c r="C56" s="19"/>
      <c r="D56" s="25" t="n">
        <f aca="false">'Memoria de Cálculo'!I34</f>
        <v>85.18</v>
      </c>
      <c r="E56" s="13"/>
      <c r="F56" s="13"/>
      <c r="G56" s="13"/>
    </row>
    <row collapsed="false" customFormat="false" customHeight="false" hidden="false" ht="13.4" outlineLevel="0" r="57">
      <c r="A57" s="34" t="s">
        <v>9</v>
      </c>
      <c r="B57" s="18" t="s">
        <v>59</v>
      </c>
      <c r="C57" s="19"/>
      <c r="D57" s="25"/>
      <c r="E57" s="13"/>
      <c r="F57" s="13"/>
      <c r="G57" s="13"/>
    </row>
    <row collapsed="false" customFormat="false" customHeight="false" hidden="false" ht="13.4" outlineLevel="0" r="58">
      <c r="A58" s="34" t="s">
        <v>30</v>
      </c>
      <c r="B58" s="18" t="s">
        <v>60</v>
      </c>
      <c r="C58" s="19"/>
      <c r="D58" s="25" t="n">
        <f aca="false">'Memoria de Cálculo'!I35</f>
        <v>7.5</v>
      </c>
      <c r="E58" s="13"/>
      <c r="F58" s="13"/>
      <c r="G58" s="13"/>
    </row>
    <row collapsed="false" customFormat="false" customHeight="false" hidden="false" ht="13.4" outlineLevel="0" r="59">
      <c r="A59" s="34" t="s">
        <v>32</v>
      </c>
      <c r="B59" s="18" t="s">
        <v>35</v>
      </c>
      <c r="C59" s="19"/>
      <c r="D59" s="25"/>
      <c r="E59" s="13"/>
      <c r="F59" s="13"/>
      <c r="G59" s="13"/>
    </row>
    <row collapsed="false" customFormat="false" customHeight="false" hidden="false" ht="12.85" outlineLevel="0" r="60">
      <c r="A60" s="38"/>
      <c r="B60" s="44" t="s">
        <v>61</v>
      </c>
      <c r="C60" s="39"/>
      <c r="D60" s="54" t="n">
        <f aca="false">SUM(D54:D59)</f>
        <v>547.008</v>
      </c>
      <c r="E60" s="13"/>
      <c r="F60" s="13"/>
      <c r="G60" s="13"/>
    </row>
    <row collapsed="false" customFormat="false" customHeight="false" hidden="false" ht="12.85" outlineLevel="0" r="61">
      <c r="A61" s="45"/>
      <c r="B61" s="43"/>
      <c r="C61" s="46"/>
      <c r="D61" s="47"/>
      <c r="E61" s="13"/>
      <c r="F61" s="13"/>
      <c r="G61" s="13"/>
    </row>
    <row collapsed="false" customFormat="false" customHeight="false" hidden="false" ht="12.85" outlineLevel="0" r="62">
      <c r="A62" s="56" t="s">
        <v>62</v>
      </c>
      <c r="B62" s="56"/>
      <c r="C62" s="56"/>
      <c r="D62" s="56"/>
      <c r="E62" s="13"/>
      <c r="F62" s="13"/>
      <c r="G62" s="13"/>
    </row>
    <row collapsed="false" customFormat="false" customHeight="false" hidden="false" ht="12.85" outlineLevel="0" r="63">
      <c r="A63" s="38" t="s">
        <v>63</v>
      </c>
      <c r="B63" s="35"/>
      <c r="C63" s="36"/>
      <c r="D63" s="37" t="s">
        <v>25</v>
      </c>
      <c r="E63" s="13"/>
      <c r="F63" s="13"/>
      <c r="G63" s="13"/>
    </row>
    <row collapsed="false" customFormat="false" customHeight="false" hidden="false" ht="13.4" outlineLevel="0" r="64">
      <c r="A64" s="34" t="s">
        <v>64</v>
      </c>
      <c r="B64" s="18" t="s">
        <v>65</v>
      </c>
      <c r="C64" s="32"/>
      <c r="D64" s="57" t="n">
        <f aca="false">D40</f>
        <v>235.191753333333</v>
      </c>
      <c r="E64" s="13"/>
      <c r="F64" s="13"/>
      <c r="G64" s="13"/>
    </row>
    <row collapsed="false" customFormat="false" customHeight="false" hidden="false" ht="13.4" outlineLevel="0" r="65">
      <c r="A65" s="34" t="s">
        <v>66</v>
      </c>
      <c r="B65" s="18" t="s">
        <v>67</v>
      </c>
      <c r="C65" s="32"/>
      <c r="D65" s="57" t="n">
        <f aca="false">D51</f>
        <v>602.61578</v>
      </c>
      <c r="E65" s="13"/>
      <c r="F65" s="13"/>
      <c r="G65" s="13"/>
    </row>
    <row collapsed="false" customFormat="false" customHeight="false" hidden="false" ht="13.4" outlineLevel="0" r="66">
      <c r="A66" s="34" t="s">
        <v>68</v>
      </c>
      <c r="B66" s="18" t="s">
        <v>69</v>
      </c>
      <c r="C66" s="32"/>
      <c r="D66" s="57" t="n">
        <f aca="false">D60</f>
        <v>547.008</v>
      </c>
      <c r="E66" s="13"/>
      <c r="F66" s="13"/>
      <c r="G66" s="13"/>
    </row>
    <row collapsed="false" customFormat="false" customHeight="false" hidden="false" ht="12.85" outlineLevel="0" r="67">
      <c r="A67" s="38"/>
      <c r="B67" s="44" t="s">
        <v>70</v>
      </c>
      <c r="C67" s="39"/>
      <c r="D67" s="54" t="n">
        <f aca="false">SUM(D64:D66)</f>
        <v>1384.81553333333</v>
      </c>
      <c r="E67" s="13"/>
      <c r="F67" s="13"/>
      <c r="G67" s="13"/>
    </row>
    <row collapsed="false" customFormat="false" customHeight="false" hidden="false" ht="12.85" outlineLevel="0" r="68">
      <c r="A68" s="45"/>
      <c r="B68" s="43"/>
      <c r="C68" s="46"/>
      <c r="D68" s="47"/>
      <c r="E68" s="13"/>
      <c r="F68" s="13"/>
      <c r="G68" s="13"/>
    </row>
    <row collapsed="false" customFormat="false" customHeight="false" hidden="false" ht="12.85" outlineLevel="0" r="69">
      <c r="A69" s="14" t="s">
        <v>71</v>
      </c>
      <c r="B69" s="14"/>
      <c r="C69" s="15"/>
      <c r="D69" s="16"/>
      <c r="E69" s="13"/>
      <c r="F69" s="13"/>
      <c r="G69" s="13"/>
    </row>
    <row collapsed="false" customFormat="false" customHeight="false" hidden="false" ht="12.85" outlineLevel="0" r="70">
      <c r="A70" s="38" t="s">
        <v>72</v>
      </c>
      <c r="B70" s="35"/>
      <c r="C70" s="36" t="s">
        <v>24</v>
      </c>
      <c r="D70" s="37" t="s">
        <v>25</v>
      </c>
      <c r="E70" s="13"/>
      <c r="F70" s="13"/>
      <c r="G70" s="13"/>
    </row>
    <row collapsed="false" customFormat="false" customHeight="false" hidden="false" ht="13.4" outlineLevel="0" r="71">
      <c r="A71" s="34" t="s">
        <v>2</v>
      </c>
      <c r="B71" s="18" t="s">
        <v>73</v>
      </c>
      <c r="C71" s="58" t="inlineStr">
        <f aca="false">'Memoria de Cálculo'!C41</f>
        <is>
          <t/>
        </is>
      </c>
      <c r="D71" s="25" t="n">
        <f aca="false">C71*$D$32</f>
        <v>6.9951882</v>
      </c>
      <c r="E71" s="13"/>
      <c r="F71" s="13"/>
      <c r="G71" s="13"/>
    </row>
    <row collapsed="false" customFormat="false" customHeight="false" hidden="false" ht="13.4" outlineLevel="0" r="72">
      <c r="A72" s="34" t="s">
        <v>4</v>
      </c>
      <c r="B72" s="18" t="s">
        <v>74</v>
      </c>
      <c r="C72" s="58" t="inlineStr">
        <f aca="false">'Memoria de Cálculo'!C42</f>
        <is>
          <t/>
        </is>
      </c>
      <c r="D72" s="25" t="n">
        <f aca="false">C72*$D$32</f>
        <v>0.559615056</v>
      </c>
      <c r="E72" s="13"/>
      <c r="F72" s="13"/>
      <c r="G72" s="13"/>
    </row>
    <row collapsed="false" customFormat="false" customHeight="false" hidden="false" ht="25.35" outlineLevel="0" r="73">
      <c r="A73" s="34" t="s">
        <v>7</v>
      </c>
      <c r="B73" s="18" t="s">
        <v>75</v>
      </c>
      <c r="C73" s="58" t="inlineStr">
        <f aca="false">'Memoria de Cálculo'!C43</f>
        <is>
          <t/>
        </is>
      </c>
      <c r="D73" s="25" t="n">
        <f aca="false">C73*$D$32</f>
        <v>4.290382096</v>
      </c>
      <c r="E73" s="13"/>
      <c r="F73" s="13"/>
      <c r="G73" s="13"/>
    </row>
    <row collapsed="false" customFormat="false" customHeight="false" hidden="false" ht="12.85" outlineLevel="0" r="74">
      <c r="A74" s="34"/>
      <c r="B74" s="44" t="s">
        <v>76</v>
      </c>
      <c r="C74" s="36" t="inlineStr">
        <f aca="false">SUM(C71:C73)</f>
        <is>
          <t/>
        </is>
      </c>
      <c r="D74" s="54" t="n">
        <f aca="false">SUM(D71:D73)</f>
        <v>11.845185352</v>
      </c>
      <c r="E74" s="13"/>
      <c r="F74" s="13"/>
      <c r="G74" s="13"/>
    </row>
    <row collapsed="false" customFormat="false" customHeight="false" hidden="false" ht="12.85" outlineLevel="0" r="75">
      <c r="A75" s="34"/>
      <c r="B75" s="31"/>
      <c r="C75" s="58"/>
      <c r="D75" s="25"/>
      <c r="E75" s="13"/>
      <c r="F75" s="13"/>
      <c r="G75" s="13"/>
    </row>
    <row collapsed="false" customFormat="false" customHeight="false" hidden="false" ht="12.85" outlineLevel="0" r="76">
      <c r="A76" s="38" t="s">
        <v>77</v>
      </c>
      <c r="B76" s="18"/>
      <c r="C76" s="36" t="s">
        <v>24</v>
      </c>
      <c r="D76" s="37" t="s">
        <v>25</v>
      </c>
      <c r="E76" s="13"/>
      <c r="F76" s="13"/>
      <c r="G76" s="13"/>
    </row>
    <row collapsed="false" customFormat="false" customHeight="false" hidden="false" ht="13.4" outlineLevel="0" r="77">
      <c r="A77" s="34" t="s">
        <v>2</v>
      </c>
      <c r="B77" s="18" t="s">
        <v>78</v>
      </c>
      <c r="C77" s="59" t="n">
        <f aca="false">'Memoria de Cálculo'!C51</f>
        <v>0.0194444444444444</v>
      </c>
      <c r="D77" s="25" t="n">
        <f aca="false">C77*$D$32</f>
        <v>29.4410277777777</v>
      </c>
      <c r="E77" s="13"/>
      <c r="F77" s="13"/>
      <c r="G77" s="13"/>
    </row>
    <row collapsed="false" customFormat="false" customHeight="false" hidden="false" ht="25.35" outlineLevel="0" r="78">
      <c r="A78" s="34" t="s">
        <v>4</v>
      </c>
      <c r="B78" s="18" t="s">
        <v>79</v>
      </c>
      <c r="C78" s="59" t="n">
        <f aca="false">'Memoria de Cálculo'!C52</f>
        <v>0.00773888888888889</v>
      </c>
      <c r="D78" s="25" t="n">
        <f aca="false">C78*$D$32</f>
        <v>11.7175290555556</v>
      </c>
      <c r="E78" s="13"/>
      <c r="F78" s="13"/>
      <c r="G78" s="13"/>
    </row>
    <row collapsed="false" customFormat="false" customHeight="false" hidden="false" ht="25.35" outlineLevel="0" r="79">
      <c r="A79" s="34" t="s">
        <v>7</v>
      </c>
      <c r="B79" s="18" t="s">
        <v>80</v>
      </c>
      <c r="C79" s="59" t="inlineStr">
        <f aca="false">'Memoria de Cálculo'!C53</f>
        <is>
          <t/>
        </is>
      </c>
      <c r="D79" s="25" t="n">
        <f aca="false">C79*$D$32</f>
        <v>44.7167153333333</v>
      </c>
      <c r="E79" s="13"/>
      <c r="F79" s="13"/>
      <c r="G79" s="13"/>
    </row>
    <row collapsed="false" customFormat="false" customHeight="false" hidden="false" ht="12.85" outlineLevel="0" r="80">
      <c r="A80" s="38"/>
      <c r="B80" s="44" t="s">
        <v>81</v>
      </c>
      <c r="C80" s="36" t="inlineStr">
        <f aca="false">SUM(C77:C79)</f>
        <is>
          <t/>
        </is>
      </c>
      <c r="D80" s="54" t="n">
        <f aca="false">SUM(D77:D79)</f>
        <v>85.8752721666666</v>
      </c>
      <c r="E80" s="13"/>
      <c r="F80" s="13"/>
      <c r="G80" s="13"/>
    </row>
    <row collapsed="false" customFormat="false" customHeight="false" hidden="false" ht="12.85" outlineLevel="0" r="81">
      <c r="A81" s="38"/>
      <c r="B81" s="38"/>
      <c r="C81" s="36"/>
      <c r="D81" s="54"/>
      <c r="E81" s="13"/>
      <c r="F81" s="13"/>
      <c r="G81" s="13"/>
    </row>
    <row collapsed="false" customFormat="false" customHeight="false" hidden="false" ht="12.85" outlineLevel="0" r="82">
      <c r="A82" s="56" t="s">
        <v>82</v>
      </c>
      <c r="B82" s="56"/>
      <c r="C82" s="56"/>
      <c r="D82" s="60"/>
      <c r="E82" s="13"/>
      <c r="F82" s="13"/>
      <c r="G82" s="13"/>
    </row>
    <row collapsed="false" customFormat="false" customHeight="false" hidden="false" ht="12.85" outlineLevel="0" r="83">
      <c r="A83" s="38" t="s">
        <v>83</v>
      </c>
      <c r="B83" s="35"/>
      <c r="C83" s="39"/>
      <c r="D83" s="37" t="s">
        <v>25</v>
      </c>
      <c r="E83" s="13"/>
      <c r="F83" s="13"/>
      <c r="G83" s="13"/>
    </row>
    <row collapsed="false" customFormat="false" customHeight="false" hidden="false" ht="13.4" outlineLevel="0" r="84">
      <c r="A84" s="34" t="s">
        <v>84</v>
      </c>
      <c r="B84" s="18" t="s">
        <v>73</v>
      </c>
      <c r="C84" s="32"/>
      <c r="D84" s="57" t="n">
        <f aca="false">D74</f>
        <v>11.845185352</v>
      </c>
      <c r="E84" s="13"/>
      <c r="F84" s="13"/>
      <c r="G84" s="13"/>
    </row>
    <row collapsed="false" customFormat="false" customHeight="false" hidden="false" ht="13.4" outlineLevel="0" r="85">
      <c r="A85" s="34" t="s">
        <v>85</v>
      </c>
      <c r="B85" s="18" t="s">
        <v>78</v>
      </c>
      <c r="C85" s="32"/>
      <c r="D85" s="57" t="n">
        <f aca="false">D80</f>
        <v>85.8752721666666</v>
      </c>
      <c r="E85" s="13"/>
      <c r="F85" s="13"/>
      <c r="G85" s="13"/>
    </row>
    <row collapsed="false" customFormat="false" customHeight="false" hidden="false" ht="12.85" outlineLevel="0" r="86">
      <c r="A86" s="38"/>
      <c r="B86" s="44" t="s">
        <v>86</v>
      </c>
      <c r="C86" s="39"/>
      <c r="D86" s="54" t="n">
        <f aca="false">SUM(D84:D85)</f>
        <v>97.7204575186666</v>
      </c>
      <c r="E86" s="13"/>
      <c r="F86" s="13"/>
      <c r="G86" s="13"/>
    </row>
    <row collapsed="false" customFormat="false" customHeight="false" hidden="false" ht="12.85" outlineLevel="0" r="87">
      <c r="A87" s="38"/>
      <c r="B87" s="38"/>
      <c r="C87" s="36"/>
      <c r="D87" s="54"/>
      <c r="E87" s="13"/>
      <c r="F87" s="13"/>
      <c r="G87" s="13"/>
    </row>
    <row collapsed="false" customFormat="false" customHeight="false" hidden="false" ht="12.85" outlineLevel="0" r="88">
      <c r="A88" s="14" t="s">
        <v>87</v>
      </c>
      <c r="B88" s="14"/>
      <c r="C88" s="14"/>
      <c r="D88" s="16"/>
      <c r="E88" s="13"/>
      <c r="F88" s="13"/>
      <c r="G88" s="13"/>
    </row>
    <row collapsed="false" customFormat="false" customHeight="false" hidden="false" ht="12.85" outlineLevel="0" r="89">
      <c r="A89" s="38" t="s">
        <v>88</v>
      </c>
      <c r="B89" s="35"/>
      <c r="C89" s="36" t="s">
        <v>24</v>
      </c>
      <c r="D89" s="37" t="s">
        <v>25</v>
      </c>
      <c r="E89" s="13"/>
      <c r="F89" s="13"/>
      <c r="G89" s="13"/>
    </row>
    <row collapsed="false" customFormat="false" customHeight="false" hidden="false" ht="13.4" outlineLevel="0" r="90">
      <c r="A90" s="34" t="s">
        <v>2</v>
      </c>
      <c r="B90" s="18" t="s">
        <v>89</v>
      </c>
      <c r="C90" s="58" t="n">
        <f aca="false">'Memoria de Cálculo'!C63</f>
        <v>0.0833333333333333</v>
      </c>
      <c r="D90" s="25" t="n">
        <f aca="false">C90*$D$32</f>
        <v>126.175833333333</v>
      </c>
      <c r="E90" s="13"/>
      <c r="F90" s="13"/>
      <c r="G90" s="13"/>
    </row>
    <row collapsed="false" customFormat="false" customHeight="false" hidden="false" ht="13.4" outlineLevel="0" r="91">
      <c r="A91" s="34" t="s">
        <v>4</v>
      </c>
      <c r="B91" s="18" t="s">
        <v>90</v>
      </c>
      <c r="C91" s="58" t="n">
        <f aca="false">'Memoria de Cálculo'!C64</f>
        <v>0.0331666666666667</v>
      </c>
      <c r="D91" s="25" t="n">
        <f aca="false">C91*$D$32</f>
        <v>50.2179816666667</v>
      </c>
      <c r="E91" s="13"/>
      <c r="F91" s="13"/>
      <c r="G91" s="13"/>
    </row>
    <row collapsed="false" customFormat="false" customHeight="false" hidden="false" ht="13.4" outlineLevel="0" r="92">
      <c r="A92" s="34" t="s">
        <v>7</v>
      </c>
      <c r="B92" s="18" t="s">
        <v>91</v>
      </c>
      <c r="C92" s="58" t="inlineStr">
        <f aca="false">'Memoria de Cálculo'!C65</f>
        <is>
          <t/>
        </is>
      </c>
      <c r="D92" s="25" t="n">
        <f aca="false">C92*$D$32</f>
        <v>2.8011035</v>
      </c>
      <c r="E92" s="13"/>
      <c r="F92" s="13"/>
      <c r="G92" s="13"/>
    </row>
    <row collapsed="false" customFormat="false" customHeight="false" hidden="false" ht="13.4" outlineLevel="0" r="93">
      <c r="A93" s="34" t="s">
        <v>9</v>
      </c>
      <c r="B93" s="18" t="s">
        <v>92</v>
      </c>
      <c r="C93" s="58" t="inlineStr">
        <f aca="false">'Memoria de Cálculo'!C66</f>
        <is>
          <t/>
        </is>
      </c>
      <c r="D93" s="25" t="n">
        <f aca="false">C93*$D$32</f>
        <v>7.0254704</v>
      </c>
      <c r="E93" s="13"/>
      <c r="F93" s="13"/>
      <c r="G93" s="13"/>
    </row>
    <row collapsed="false" customFormat="false" customHeight="false" hidden="false" ht="13.4" outlineLevel="0" r="94">
      <c r="A94" s="34" t="s">
        <v>30</v>
      </c>
      <c r="B94" s="18" t="s">
        <v>93</v>
      </c>
      <c r="C94" s="58" t="inlineStr">
        <f aca="false">'Memoria de Cálculo'!C67</f>
        <is>
          <t/>
        </is>
      </c>
      <c r="D94" s="25" t="n">
        <f aca="false">C94*$D$32</f>
        <v>4.1940847</v>
      </c>
      <c r="E94" s="13"/>
      <c r="F94" s="13"/>
      <c r="G94" s="13"/>
    </row>
    <row collapsed="false" customFormat="false" customHeight="false" hidden="false" ht="13.4" outlineLevel="0" r="95">
      <c r="A95" s="34" t="s">
        <v>32</v>
      </c>
      <c r="B95" s="18" t="s">
        <v>94</v>
      </c>
      <c r="C95" s="58" t="inlineStr">
        <f aca="false">'Memoria de Cálculo'!C68</f>
        <is>
          <t/>
        </is>
      </c>
      <c r="D95" s="25" t="n">
        <f aca="false">C95*$D$32</f>
        <v>0.4088097</v>
      </c>
      <c r="E95" s="13"/>
      <c r="F95" s="13"/>
      <c r="G95" s="13"/>
    </row>
    <row collapsed="false" customFormat="false" customHeight="false" hidden="false" ht="13.4" outlineLevel="0" r="96">
      <c r="A96" s="34" t="s">
        <v>34</v>
      </c>
      <c r="B96" s="18" t="s">
        <v>95</v>
      </c>
      <c r="C96" s="58" t="inlineStr">
        <f aca="false">'Memoria de Cálculo'!C69</f>
        <is>
          <t/>
        </is>
      </c>
      <c r="D96" s="25" t="n">
        <f aca="false">C96*$D$32</f>
        <v>4.693741</v>
      </c>
      <c r="E96" s="13"/>
      <c r="F96" s="13"/>
      <c r="G96" s="13"/>
    </row>
    <row collapsed="false" customFormat="false" customHeight="false" hidden="false" ht="13.4" outlineLevel="0" r="97">
      <c r="A97" s="34" t="s">
        <v>52</v>
      </c>
      <c r="B97" s="18" t="s">
        <v>96</v>
      </c>
      <c r="C97" s="58" t="inlineStr">
        <f aca="false">'Memoria de Cálculo'!C70</f>
        <is>
          <t/>
        </is>
      </c>
      <c r="D97" s="25" t="n">
        <f aca="false">C97*$D$32</f>
        <v>0.7116317</v>
      </c>
      <c r="E97" s="13"/>
      <c r="F97" s="13"/>
      <c r="G97" s="13"/>
    </row>
    <row collapsed="false" customFormat="false" customHeight="false" hidden="false" ht="25.35" outlineLevel="0" r="98">
      <c r="A98" s="34" t="s">
        <v>97</v>
      </c>
      <c r="B98" s="18" t="s">
        <v>98</v>
      </c>
      <c r="C98" s="58" t="inlineStr">
        <f aca="false">'Memoria de Cálculo'!C71</f>
        <is>
          <t/>
        </is>
      </c>
      <c r="D98" s="25" t="n">
        <f aca="false">C98*$D$32</f>
        <v>7.894266718</v>
      </c>
      <c r="E98" s="13"/>
      <c r="F98" s="13"/>
      <c r="G98" s="13"/>
    </row>
    <row collapsed="false" customFormat="false" customHeight="false" hidden="false" ht="12.85" outlineLevel="0" r="99">
      <c r="A99" s="38"/>
      <c r="B99" s="44" t="s">
        <v>99</v>
      </c>
      <c r="C99" s="36" t="inlineStr">
        <f aca="false">SUM(C90:C98)</f>
        <is>
          <t/>
        </is>
      </c>
      <c r="D99" s="54" t="n">
        <f aca="false">SUM(D90:D98)</f>
        <v>204.122922718</v>
      </c>
      <c r="E99" s="13"/>
      <c r="F99" s="13"/>
      <c r="G99" s="13"/>
    </row>
    <row collapsed="false" customFormat="false" customHeight="false" hidden="false" ht="12.85" outlineLevel="0" r="100">
      <c r="A100" s="34"/>
      <c r="B100" s="35"/>
      <c r="C100" s="19"/>
      <c r="D100" s="54"/>
      <c r="E100" s="13"/>
      <c r="F100" s="13"/>
      <c r="G100" s="13"/>
    </row>
    <row collapsed="false" customFormat="false" customHeight="false" hidden="false" ht="12.85" outlineLevel="0" r="101">
      <c r="A101" s="45"/>
      <c r="B101" s="43"/>
      <c r="C101" s="46"/>
      <c r="D101" s="47"/>
      <c r="E101" s="13"/>
      <c r="F101" s="13"/>
      <c r="G101" s="13"/>
    </row>
    <row collapsed="false" customFormat="false" customHeight="false" hidden="false" ht="12.85" outlineLevel="0" r="102">
      <c r="A102" s="38" t="s">
        <v>100</v>
      </c>
      <c r="B102" s="35"/>
      <c r="C102" s="36" t="s">
        <v>24</v>
      </c>
      <c r="D102" s="37" t="s">
        <v>25</v>
      </c>
      <c r="E102" s="13"/>
      <c r="F102" s="13"/>
      <c r="G102" s="13"/>
    </row>
    <row collapsed="false" customFormat="false" customHeight="false" hidden="false" ht="13.4" outlineLevel="0" r="103">
      <c r="A103" s="34" t="s">
        <v>2</v>
      </c>
      <c r="B103" s="18" t="s">
        <v>101</v>
      </c>
      <c r="C103" s="59" t="str">
        <f aca="false">'Memoria de Cálculo'!C84</f>
        <v>-</v>
      </c>
      <c r="D103" s="61" t="n">
        <v>0</v>
      </c>
      <c r="E103" s="13"/>
      <c r="F103" s="13"/>
      <c r="G103" s="13"/>
    </row>
    <row collapsed="false" customFormat="false" customHeight="false" hidden="false" ht="25.35" outlineLevel="0" r="104">
      <c r="A104" s="34" t="s">
        <v>4</v>
      </c>
      <c r="B104" s="18" t="s">
        <v>102</v>
      </c>
      <c r="C104" s="59" t="str">
        <f aca="false">'Memoria de Cálculo'!C85</f>
        <v>-</v>
      </c>
      <c r="D104" s="25" t="n">
        <v>0</v>
      </c>
      <c r="E104" s="13"/>
      <c r="F104" s="13"/>
      <c r="G104" s="13"/>
    </row>
    <row collapsed="false" customFormat="false" customHeight="false" hidden="false" ht="12.85" outlineLevel="0" r="105">
      <c r="A105" s="38"/>
      <c r="B105" s="44" t="s">
        <v>103</v>
      </c>
      <c r="C105" s="36" t="n">
        <f aca="false">SUM(C103)</f>
        <v>0</v>
      </c>
      <c r="D105" s="62" t="n">
        <f aca="false">SUM(D103)</f>
        <v>0</v>
      </c>
      <c r="E105" s="13"/>
      <c r="F105" s="13"/>
      <c r="G105" s="13"/>
    </row>
    <row collapsed="false" customFormat="false" customHeight="false" hidden="false" ht="12.85" outlineLevel="0" r="106">
      <c r="A106" s="45"/>
      <c r="B106" s="43"/>
      <c r="C106" s="46"/>
      <c r="D106" s="47"/>
      <c r="E106" s="13"/>
      <c r="F106" s="13"/>
      <c r="G106" s="13"/>
    </row>
    <row collapsed="false" customFormat="false" customHeight="false" hidden="false" ht="12.85" outlineLevel="0" r="107">
      <c r="A107" s="56" t="s">
        <v>104</v>
      </c>
      <c r="B107" s="56"/>
      <c r="C107" s="56"/>
      <c r="D107" s="56"/>
      <c r="E107" s="13"/>
      <c r="F107" s="13"/>
      <c r="G107" s="13"/>
    </row>
    <row collapsed="false" customFormat="false" customHeight="false" hidden="false" ht="12.85" outlineLevel="0" r="108">
      <c r="A108" s="38" t="s">
        <v>105</v>
      </c>
      <c r="B108" s="35"/>
      <c r="C108" s="39"/>
      <c r="D108" s="37" t="s">
        <v>25</v>
      </c>
      <c r="E108" s="13"/>
      <c r="F108" s="13"/>
      <c r="G108" s="13"/>
    </row>
    <row collapsed="false" customFormat="false" customHeight="false" hidden="false" ht="13.4" outlineLevel="0" r="109">
      <c r="A109" s="34" t="s">
        <v>106</v>
      </c>
      <c r="B109" s="18" t="s">
        <v>92</v>
      </c>
      <c r="C109" s="32"/>
      <c r="D109" s="33" t="n">
        <f aca="false">D99</f>
        <v>204.122922718</v>
      </c>
      <c r="E109" s="13"/>
      <c r="F109" s="13"/>
      <c r="G109" s="13"/>
    </row>
    <row collapsed="false" customFormat="false" customHeight="false" hidden="false" ht="13.4" outlineLevel="0" r="110">
      <c r="A110" s="34" t="s">
        <v>107</v>
      </c>
      <c r="B110" s="18" t="s">
        <v>108</v>
      </c>
      <c r="C110" s="32"/>
      <c r="D110" s="33" t="n">
        <f aca="false">D105</f>
        <v>0</v>
      </c>
      <c r="E110" s="13"/>
      <c r="F110" s="13"/>
      <c r="G110" s="13"/>
    </row>
    <row collapsed="false" customFormat="false" customHeight="false" hidden="false" ht="12.85" outlineLevel="0" r="111">
      <c r="A111" s="38"/>
      <c r="B111" s="44" t="s">
        <v>109</v>
      </c>
      <c r="C111" s="39"/>
      <c r="D111" s="54" t="n">
        <f aca="false">SUM(D109:D110)</f>
        <v>204.122922718</v>
      </c>
      <c r="E111" s="13"/>
      <c r="F111" s="13"/>
      <c r="G111" s="13"/>
    </row>
    <row collapsed="false" customFormat="false" customHeight="false" hidden="false" ht="12.85" outlineLevel="0" r="112">
      <c r="A112" s="45"/>
      <c r="B112" s="43"/>
      <c r="C112" s="46"/>
      <c r="D112" s="47"/>
      <c r="E112" s="13"/>
      <c r="F112" s="13"/>
      <c r="G112" s="13"/>
    </row>
    <row collapsed="false" customFormat="false" customHeight="false" hidden="false" ht="12.85" outlineLevel="0" r="113">
      <c r="A113" s="14" t="s">
        <v>110</v>
      </c>
      <c r="B113" s="14"/>
      <c r="C113" s="15"/>
      <c r="D113" s="16"/>
      <c r="E113" s="13"/>
      <c r="F113" s="13"/>
      <c r="G113" s="13"/>
    </row>
    <row collapsed="false" customFormat="false" customHeight="false" hidden="false" ht="13.4" outlineLevel="0" r="114">
      <c r="A114" s="34"/>
      <c r="B114" s="35" t="s">
        <v>111</v>
      </c>
      <c r="C114" s="36"/>
      <c r="D114" s="37" t="s">
        <v>25</v>
      </c>
      <c r="E114" s="13"/>
      <c r="F114" s="13"/>
      <c r="G114" s="13"/>
    </row>
    <row collapsed="false" customFormat="false" customHeight="false" hidden="false" ht="13.4" outlineLevel="0" r="115">
      <c r="A115" s="34" t="s">
        <v>2</v>
      </c>
      <c r="B115" s="18" t="s">
        <v>112</v>
      </c>
      <c r="C115" s="32"/>
      <c r="D115" s="33" t="n">
        <f aca="false">'Memoria de Cálculo'!C91</f>
        <v>76.94</v>
      </c>
      <c r="E115" s="13"/>
      <c r="F115" s="13"/>
      <c r="G115" s="13"/>
    </row>
    <row collapsed="false" customFormat="false" customHeight="false" hidden="false" ht="13.4" outlineLevel="0" r="116">
      <c r="A116" s="34" t="s">
        <v>4</v>
      </c>
      <c r="B116" s="18" t="s">
        <v>113</v>
      </c>
      <c r="C116" s="32"/>
      <c r="D116" s="33" t="n">
        <f aca="false">'Memoria de Cálculo'!C92</f>
        <v>79.17</v>
      </c>
      <c r="E116" s="13"/>
      <c r="F116" s="13"/>
      <c r="G116" s="13"/>
    </row>
    <row collapsed="false" customFormat="false" customHeight="false" hidden="false" ht="13.4" outlineLevel="0" r="117">
      <c r="A117" s="63" t="s">
        <v>7</v>
      </c>
      <c r="B117" s="18" t="s">
        <v>114</v>
      </c>
      <c r="C117" s="32"/>
      <c r="D117" s="33"/>
      <c r="E117" s="13"/>
      <c r="F117" s="13"/>
      <c r="G117" s="13"/>
    </row>
    <row collapsed="false" customFormat="false" customHeight="false" hidden="false" ht="13.4" outlineLevel="0" r="118">
      <c r="A118" s="63" t="s">
        <v>9</v>
      </c>
      <c r="B118" s="18" t="s">
        <v>35</v>
      </c>
      <c r="C118" s="19"/>
      <c r="D118" s="25"/>
      <c r="E118" s="13"/>
      <c r="F118" s="13"/>
      <c r="G118" s="13"/>
    </row>
    <row collapsed="false" customFormat="false" customHeight="false" hidden="false" ht="13.4" outlineLevel="0" r="119">
      <c r="A119" s="38"/>
      <c r="B119" s="64" t="s">
        <v>115</v>
      </c>
      <c r="C119" s="36"/>
      <c r="D119" s="54" t="n">
        <f aca="false">SUM(D115:D118)</f>
        <v>156.11</v>
      </c>
      <c r="E119" s="13"/>
      <c r="F119" s="13"/>
      <c r="G119" s="13"/>
    </row>
    <row collapsed="false" customFormat="false" customHeight="false" hidden="false" ht="12.85" outlineLevel="0" r="120">
      <c r="A120" s="45"/>
      <c r="B120" s="43"/>
      <c r="C120" s="46"/>
      <c r="D120" s="47"/>
      <c r="E120" s="13"/>
      <c r="F120" s="13"/>
      <c r="G120" s="13"/>
    </row>
    <row collapsed="false" customFormat="false" customHeight="false" hidden="false" ht="13.4" outlineLevel="0" r="121">
      <c r="A121" s="65"/>
      <c r="B121" s="66" t="s">
        <v>116</v>
      </c>
      <c r="C121" s="15"/>
      <c r="D121" s="16" t="n">
        <f aca="false">D119+D111+D86+D67+D32</f>
        <v>3356.87891357</v>
      </c>
      <c r="E121" s="13"/>
      <c r="F121" s="13"/>
      <c r="G121" s="13"/>
    </row>
    <row collapsed="false" customFormat="false" customHeight="false" hidden="false" ht="12.85" outlineLevel="0" r="122">
      <c r="A122" s="45"/>
      <c r="B122" s="43"/>
      <c r="C122" s="46"/>
      <c r="D122" s="47"/>
      <c r="E122" s="13"/>
      <c r="F122" s="13"/>
      <c r="G122" s="13"/>
    </row>
    <row collapsed="false" customFormat="false" customHeight="false" hidden="false" ht="12.85" outlineLevel="0" r="123">
      <c r="A123" s="14" t="s">
        <v>117</v>
      </c>
      <c r="B123" s="14"/>
      <c r="C123" s="15"/>
      <c r="D123" s="16"/>
      <c r="E123" s="13"/>
      <c r="F123" s="13"/>
      <c r="G123" s="13"/>
    </row>
    <row collapsed="false" customFormat="false" customHeight="false" hidden="false" ht="13.4" outlineLevel="0" r="124">
      <c r="A124" s="34" t="n">
        <v>6</v>
      </c>
      <c r="B124" s="35" t="s">
        <v>118</v>
      </c>
      <c r="C124" s="36" t="s">
        <v>24</v>
      </c>
      <c r="D124" s="37" t="s">
        <v>25</v>
      </c>
      <c r="E124" s="13"/>
      <c r="F124" s="13"/>
      <c r="G124" s="13"/>
    </row>
    <row collapsed="false" customFormat="false" customHeight="false" hidden="false" ht="13.4" outlineLevel="0" r="125">
      <c r="A125" s="34" t="s">
        <v>2</v>
      </c>
      <c r="B125" s="18" t="s">
        <v>119</v>
      </c>
      <c r="C125" s="32" t="inlineStr">
        <f aca="false">'Memoria de Cálculo'!C104</f>
        <is>
          <t/>
        </is>
      </c>
      <c r="D125" s="33" t="n">
        <f aca="false">C125*D121</f>
        <v>436.3942587641</v>
      </c>
      <c r="E125" s="13"/>
      <c r="F125" s="13"/>
      <c r="G125" s="13"/>
    </row>
    <row collapsed="false" customFormat="false" customHeight="false" hidden="false" ht="13.4" outlineLevel="0" r="126">
      <c r="A126" s="34" t="s">
        <v>4</v>
      </c>
      <c r="B126" s="18" t="s">
        <v>120</v>
      </c>
      <c r="C126" s="32" t="inlineStr">
        <f aca="false">'Memoria de Cálculo'!C105</f>
        <is>
          <t/>
        </is>
      </c>
      <c r="D126" s="33" t="n">
        <f aca="false">(D125+D121)*C126</f>
        <v>493.125512403433</v>
      </c>
      <c r="E126" s="13"/>
      <c r="F126" s="13"/>
      <c r="G126" s="13"/>
    </row>
    <row collapsed="false" customFormat="false" customHeight="false" hidden="false" ht="13.4" outlineLevel="0" r="127">
      <c r="A127" s="34" t="s">
        <v>7</v>
      </c>
      <c r="B127" s="35" t="s">
        <v>121</v>
      </c>
      <c r="C127" s="39"/>
      <c r="D127" s="40"/>
      <c r="E127" s="13"/>
      <c r="F127" s="13"/>
      <c r="G127" s="13"/>
    </row>
    <row collapsed="false" customFormat="false" customHeight="false" hidden="false" ht="13.4" outlineLevel="0" r="128">
      <c r="A128" s="34"/>
      <c r="B128" s="18" t="s">
        <v>122</v>
      </c>
      <c r="C128" s="32" t="n">
        <f aca="false">'Memoria de Cálculo'!C107</f>
        <v>0.0925</v>
      </c>
      <c r="D128" s="33" t="n">
        <f aca="false">(($D$126+$D$125+$D$121)/(1-SUM($C$128:$C$130))*C128)</f>
        <v>462.381199228247</v>
      </c>
      <c r="E128" s="67"/>
      <c r="F128" s="13"/>
      <c r="G128" s="13"/>
    </row>
    <row collapsed="false" customFormat="false" customHeight="false" hidden="false" ht="13.4" outlineLevel="0" r="129">
      <c r="A129" s="34"/>
      <c r="B129" s="18" t="s">
        <v>123</v>
      </c>
      <c r="C129" s="32" t="n">
        <f aca="false">'Memoria de Cálculo'!C108</f>
        <v>0</v>
      </c>
      <c r="D129" s="33" t="n">
        <f aca="false">(($D$126+$D$125+$D$121)/(1-SUM($C$128:$C$130))*C129)</f>
        <v>0</v>
      </c>
      <c r="E129" s="13"/>
      <c r="F129" s="13"/>
      <c r="G129" s="13"/>
    </row>
    <row collapsed="false" customFormat="false" customHeight="false" hidden="false" ht="13.4" outlineLevel="0" r="130">
      <c r="A130" s="34"/>
      <c r="B130" s="18" t="s">
        <v>124</v>
      </c>
      <c r="C130" s="32" t="n">
        <f aca="false">'Memoria de Cálculo'!C109</f>
        <v>0.05</v>
      </c>
      <c r="D130" s="33" t="n">
        <f aca="false">(($D$126+$D$125+$D$121)/(1-SUM($C$128:$C$130))*C130)</f>
        <v>249.93578336662</v>
      </c>
      <c r="E130" s="13"/>
      <c r="F130" s="13"/>
      <c r="G130" s="13"/>
    </row>
    <row collapsed="false" customFormat="false" customHeight="false" hidden="false" ht="12.85" outlineLevel="0" r="131">
      <c r="A131" s="38"/>
      <c r="B131" s="44" t="s">
        <v>125</v>
      </c>
      <c r="C131" s="39" t="inlineStr">
        <f aca="false">SUM(C125:C130)</f>
        <is>
          <t/>
        </is>
      </c>
      <c r="D131" s="40" t="n">
        <f aca="false">SUM(D125:D130)</f>
        <v>1641.8367537624</v>
      </c>
      <c r="E131" s="13"/>
      <c r="F131" s="13"/>
      <c r="G131" s="13"/>
    </row>
    <row collapsed="false" customFormat="false" customHeight="false" hidden="false" ht="12.85" outlineLevel="0" r="132">
      <c r="A132" s="17"/>
      <c r="B132" s="18"/>
      <c r="C132" s="19"/>
      <c r="D132" s="25"/>
      <c r="E132" s="67"/>
      <c r="F132" s="13"/>
      <c r="G132" s="13"/>
    </row>
    <row collapsed="false" customFormat="false" customHeight="false" hidden="false" ht="12.85" outlineLevel="0" r="133">
      <c r="A133" s="17"/>
      <c r="B133" s="68"/>
      <c r="C133" s="58"/>
      <c r="D133" s="21"/>
      <c r="E133" s="67"/>
      <c r="F133" s="13"/>
      <c r="G133" s="13"/>
    </row>
    <row collapsed="false" customFormat="false" customHeight="false" hidden="false" ht="12.85" outlineLevel="0" r="134">
      <c r="A134" s="56" t="s">
        <v>126</v>
      </c>
      <c r="B134" s="56"/>
      <c r="C134" s="69"/>
      <c r="D134" s="60"/>
      <c r="E134" s="13"/>
      <c r="F134" s="13"/>
      <c r="G134" s="13"/>
    </row>
    <row collapsed="false" customFormat="false" customHeight="false" hidden="false" ht="13.4" outlineLevel="0" r="135">
      <c r="A135" s="38" t="s">
        <v>127</v>
      </c>
      <c r="B135" s="35"/>
      <c r="C135" s="39"/>
      <c r="D135" s="37" t="s">
        <v>25</v>
      </c>
      <c r="E135" s="70"/>
      <c r="F135" s="13"/>
      <c r="G135" s="13"/>
    </row>
    <row collapsed="false" customFormat="false" customHeight="false" hidden="false" ht="12.85" outlineLevel="0" r="136">
      <c r="A136" s="17" t="s">
        <v>2</v>
      </c>
      <c r="B136" s="71" t="str">
        <f aca="false">A23</f>
        <v>MÓDULO 1 - COMPOSIÇÃO DA REMUNERAÇÃO</v>
      </c>
      <c r="C136" s="71"/>
      <c r="D136" s="57" t="n">
        <f aca="false">D32</f>
        <v>1514.11</v>
      </c>
      <c r="E136" s="13"/>
      <c r="F136" s="13"/>
      <c r="G136" s="13"/>
    </row>
    <row collapsed="false" customFormat="false" customHeight="false" hidden="false" ht="12.85" outlineLevel="0" r="137">
      <c r="A137" s="17" t="s">
        <v>4</v>
      </c>
      <c r="B137" s="71" t="str">
        <f aca="false">A34</f>
        <v>MÓDULO 2 – ENCARGOS E BENEFÍCIOS ANUAIS, MENSAIS E DIÁRIOS</v>
      </c>
      <c r="C137" s="71"/>
      <c r="D137" s="57" t="n">
        <f aca="false">D67</f>
        <v>1384.81553333333</v>
      </c>
      <c r="E137" s="13"/>
      <c r="F137" s="13"/>
      <c r="G137" s="13"/>
    </row>
    <row collapsed="false" customFormat="false" customHeight="false" hidden="false" ht="12.85" outlineLevel="0" r="138">
      <c r="A138" s="17" t="s">
        <v>7</v>
      </c>
      <c r="B138" s="71" t="str">
        <f aca="false">A69</f>
        <v>MÓDULO 3 – PROVISÃO PARA RESCISÃO</v>
      </c>
      <c r="C138" s="71"/>
      <c r="D138" s="57" t="n">
        <f aca="false">D86</f>
        <v>97.7204575186666</v>
      </c>
      <c r="E138" s="13"/>
      <c r="F138" s="13"/>
      <c r="G138" s="13"/>
    </row>
    <row collapsed="false" customFormat="false" customHeight="true" hidden="false" ht="14.2" outlineLevel="0" r="139">
      <c r="A139" s="17" t="s">
        <v>9</v>
      </c>
      <c r="B139" s="71" t="str">
        <f aca="false">A88</f>
        <v>MÓDULO 4 – CUSTO DE REPOSIÇÃO DO PROFISSIONAL AUSENTE</v>
      </c>
      <c r="C139" s="71"/>
      <c r="D139" s="57" t="n">
        <f aca="false">D111</f>
        <v>204.122922718</v>
      </c>
      <c r="E139" s="13"/>
      <c r="F139" s="13"/>
      <c r="G139" s="13"/>
    </row>
    <row collapsed="false" customFormat="false" customHeight="true" hidden="false" ht="14.9" outlineLevel="0" r="140">
      <c r="A140" s="17" t="s">
        <v>30</v>
      </c>
      <c r="B140" s="71" t="str">
        <f aca="false">A113</f>
        <v>MÓDULO 5 – INSUMOS DIVERSOS</v>
      </c>
      <c r="C140" s="71"/>
      <c r="D140" s="57" t="n">
        <f aca="false">D119</f>
        <v>156.11</v>
      </c>
      <c r="E140" s="13"/>
      <c r="F140" s="13"/>
      <c r="G140" s="13"/>
    </row>
    <row collapsed="false" customFormat="false" customHeight="true" hidden="false" ht="13.15" outlineLevel="0" r="141">
      <c r="A141" s="34"/>
      <c r="B141" s="64"/>
      <c r="C141" s="53" t="s">
        <v>128</v>
      </c>
      <c r="D141" s="40" t="n">
        <f aca="false">SUM(D136:D140)</f>
        <v>3356.87891357</v>
      </c>
      <c r="E141" s="13"/>
      <c r="F141" s="13"/>
      <c r="G141" s="13"/>
    </row>
    <row collapsed="false" customFormat="false" customHeight="true" hidden="false" ht="14.2" outlineLevel="0" r="142">
      <c r="A142" s="17" t="s">
        <v>32</v>
      </c>
      <c r="B142" s="18" t="str">
        <f aca="false">A123</f>
        <v>MÓDULO 6 – CUSTOS INDIRETOS, TRIBUTOS E LUCRO</v>
      </c>
      <c r="C142" s="19"/>
      <c r="D142" s="25" t="n">
        <f aca="false">D131</f>
        <v>1641.8367537624</v>
      </c>
      <c r="E142" s="13"/>
      <c r="F142" s="13"/>
      <c r="G142" s="13"/>
    </row>
    <row collapsed="false" customFormat="false" customHeight="true" hidden="false" ht="13.15" outlineLevel="0" r="143">
      <c r="A143" s="38"/>
      <c r="B143" s="64"/>
      <c r="C143" s="53" t="s">
        <v>129</v>
      </c>
      <c r="D143" s="40" t="n">
        <f aca="false">ROUND(D142+D141,2)</f>
        <v>4998.72</v>
      </c>
      <c r="E143" s="13"/>
      <c r="F143" s="13"/>
      <c r="G143" s="13"/>
    </row>
    <row collapsed="false" customFormat="false" customHeight="false" hidden="false" ht="12.85" outlineLevel="0" r="144">
      <c r="A144" s="13"/>
      <c r="B144" s="31"/>
      <c r="C144" s="72"/>
      <c r="D144" s="42"/>
      <c r="E144" s="13"/>
      <c r="F144" s="13"/>
      <c r="G144" s="13"/>
    </row>
    <row collapsed="false" customFormat="false" customHeight="true" hidden="false" ht="13.15" outlineLevel="0" r="145">
      <c r="A145" s="17"/>
      <c r="B145" s="18" t="s">
        <v>130</v>
      </c>
      <c r="C145" s="19"/>
      <c r="D145" s="25"/>
      <c r="E145" s="13"/>
      <c r="F145" s="13"/>
      <c r="G145" s="13"/>
    </row>
    <row collapsed="false" customFormat="false" customHeight="true" hidden="false" ht="13.9" outlineLevel="0" r="146">
      <c r="A146" s="69"/>
      <c r="B146" s="73" t="s">
        <v>131</v>
      </c>
      <c r="C146" s="73"/>
      <c r="D146" s="73"/>
      <c r="E146" s="73"/>
      <c r="F146" s="69"/>
      <c r="G146" s="69"/>
    </row>
    <row collapsed="false" customFormat="false" customHeight="true" hidden="false" ht="78.6" outlineLevel="0" r="147">
      <c r="A147" s="24"/>
      <c r="B147" s="74" t="s">
        <v>132</v>
      </c>
      <c r="C147" s="75" t="s">
        <v>133</v>
      </c>
      <c r="D147" s="76" t="s">
        <v>134</v>
      </c>
      <c r="E147" s="75" t="s">
        <v>135</v>
      </c>
      <c r="F147" s="75" t="s">
        <v>136</v>
      </c>
      <c r="G147" s="75" t="s">
        <v>137</v>
      </c>
    </row>
    <row collapsed="false" customFormat="false" customHeight="true" hidden="false" ht="13.15" outlineLevel="0" r="148">
      <c r="A148" s="24"/>
      <c r="B148" s="77" t="str">
        <f aca="false">D20</f>
        <v>Motoboy</v>
      </c>
      <c r="C148" s="78" t="n">
        <f aca="false">D143</f>
        <v>4998.72</v>
      </c>
      <c r="D148" s="79" t="n">
        <v>1</v>
      </c>
      <c r="E148" s="78" t="n">
        <f aca="false">D148*C148</f>
        <v>4998.72</v>
      </c>
      <c r="F148" s="80" t="n">
        <v>1</v>
      </c>
      <c r="G148" s="78" t="n">
        <f aca="false">F148*E148</f>
        <v>4998.72</v>
      </c>
    </row>
    <row collapsed="false" customFormat="false" customHeight="true" hidden="false" ht="13.9" outlineLevel="0" r="149">
      <c r="A149" s="24"/>
      <c r="B149" s="81"/>
      <c r="C149" s="82"/>
      <c r="D149" s="83"/>
      <c r="E149" s="80" t="s">
        <v>138</v>
      </c>
      <c r="F149" s="80"/>
      <c r="G149" s="78" t="n">
        <f aca="false">G148</f>
        <v>4998.72</v>
      </c>
    </row>
    <row collapsed="false" customFormat="false" customHeight="true" hidden="false" ht="13.9" outlineLevel="0" r="150">
      <c r="A150" s="13"/>
      <c r="B150" s="31"/>
      <c r="C150" s="72"/>
      <c r="D150" s="42"/>
      <c r="E150" s="13"/>
      <c r="F150" s="13"/>
      <c r="G150" s="13"/>
    </row>
    <row collapsed="false" customFormat="false" customHeight="true" hidden="false" ht="22.9" outlineLevel="0" r="151">
      <c r="A151" s="9"/>
      <c r="B151" s="9" t="s">
        <v>139</v>
      </c>
      <c r="C151" s="19"/>
      <c r="D151" s="33"/>
      <c r="E151" s="13"/>
      <c r="F151" s="13"/>
      <c r="G151" s="13"/>
    </row>
    <row collapsed="false" customFormat="false" customHeight="true" hidden="false" ht="13.15" outlineLevel="0" r="152">
      <c r="A152" s="69"/>
      <c r="B152" s="84" t="s">
        <v>140</v>
      </c>
      <c r="C152" s="69"/>
      <c r="D152" s="40"/>
      <c r="E152" s="13"/>
      <c r="F152" s="13"/>
      <c r="G152" s="13"/>
    </row>
    <row collapsed="false" customFormat="false" customHeight="true" hidden="false" ht="13.15" outlineLevel="0" r="153">
      <c r="A153" s="17"/>
      <c r="B153" s="41" t="s">
        <v>141</v>
      </c>
      <c r="C153" s="39" t="s">
        <v>142</v>
      </c>
      <c r="D153" s="40"/>
      <c r="E153" s="13"/>
      <c r="F153" s="13"/>
      <c r="G153" s="13"/>
    </row>
    <row collapsed="false" customFormat="false" customHeight="true" hidden="false" ht="19.15" outlineLevel="0" r="154">
      <c r="A154" s="17" t="s">
        <v>2</v>
      </c>
      <c r="B154" s="18" t="s">
        <v>143</v>
      </c>
      <c r="C154" s="25" t="n">
        <f aca="false">C148</f>
        <v>4998.72</v>
      </c>
      <c r="D154" s="25"/>
      <c r="E154" s="13"/>
      <c r="F154" s="13"/>
      <c r="G154" s="13"/>
    </row>
    <row collapsed="false" customFormat="false" customHeight="false" hidden="false" ht="13.4" outlineLevel="0" r="155">
      <c r="A155" s="17" t="s">
        <v>4</v>
      </c>
      <c r="B155" s="18" t="s">
        <v>144</v>
      </c>
      <c r="C155" s="25" t="n">
        <f aca="false">G148</f>
        <v>4998.72</v>
      </c>
      <c r="D155" s="25"/>
      <c r="E155" s="13"/>
      <c r="F155" s="13"/>
      <c r="G155" s="13"/>
    </row>
    <row collapsed="false" customFormat="false" customHeight="false" hidden="false" ht="25.35" outlineLevel="0" r="156">
      <c r="A156" s="17" t="s">
        <v>7</v>
      </c>
      <c r="B156" s="18" t="s">
        <v>145</v>
      </c>
      <c r="C156" s="25" t="n">
        <f aca="false">C155*12</f>
        <v>59984.64</v>
      </c>
      <c r="D156" s="25"/>
      <c r="E156" s="13"/>
      <c r="F156" s="42"/>
      <c r="G156" s="13"/>
    </row>
    <row collapsed="false" customFormat="false" customHeight="false" hidden="false" ht="12.85" outlineLevel="0" r="157">
      <c r="A157" s="17"/>
      <c r="B157" s="31"/>
      <c r="C157" s="72"/>
      <c r="D157" s="42"/>
      <c r="E157" s="13"/>
      <c r="F157" s="13"/>
      <c r="G157" s="13"/>
    </row>
    <row collapsed="false" customFormat="false" customHeight="false" hidden="false" ht="12.75" outlineLevel="0" r="158">
      <c r="B158" s="85" t="s">
        <v>146</v>
      </c>
      <c r="C158" s="86" t="n">
        <f aca="false">C154/D19</f>
        <v>4.2918519790504</v>
      </c>
    </row>
    <row collapsed="false" customFormat="false" customHeight="false" hidden="false" ht="12.75" outlineLevel="0" r="1048576"/>
  </sheetData>
  <mergeCells count="22">
    <mergeCell ref="A2:D2"/>
    <mergeCell ref="A4:B4"/>
    <mergeCell ref="A10:B10"/>
    <mergeCell ref="A16:C16"/>
    <mergeCell ref="A17:B17"/>
    <mergeCell ref="A23:B23"/>
    <mergeCell ref="A34:C34"/>
    <mergeCell ref="A62:D62"/>
    <mergeCell ref="A69:B69"/>
    <mergeCell ref="A82:C82"/>
    <mergeCell ref="A88:C88"/>
    <mergeCell ref="A107:D107"/>
    <mergeCell ref="A113:B113"/>
    <mergeCell ref="A123:B123"/>
    <mergeCell ref="A134:B134"/>
    <mergeCell ref="B136:C136"/>
    <mergeCell ref="B137:C137"/>
    <mergeCell ref="B138:C138"/>
    <mergeCell ref="B139:C139"/>
    <mergeCell ref="B140:C140"/>
    <mergeCell ref="B146:E146"/>
    <mergeCell ref="E149:F149"/>
  </mergeCells>
  <printOptions headings="false" gridLines="false" gridLinesSet="true" horizontalCentered="false" verticalCentered="false"/>
  <pageMargins left="0.39375" right="0.196527777777778" top="0.590277777777778" bottom="0.39375" header="0.511805555555555" footer="0.511805555555555"/>
  <pageSetup blackAndWhite="false" cellComments="none" copies="1" draft="false" firstPageNumber="0" fitToHeight="3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F113"/>
  <sheetViews>
    <sheetView colorId="64" defaultGridColor="true" rightToLeft="false" showFormulas="false" showGridLines="true" showOutlineSymbols="true" showRowColHeaders="true" showZeros="true" tabSelected="false" topLeftCell="B91" view="normal" windowProtection="false" workbookViewId="0" zoomScale="110" zoomScaleNormal="110" zoomScalePageLayoutView="100">
      <selection activeCell="H105" activeCellId="0" pane="topLeft" sqref="H105"/>
    </sheetView>
  </sheetViews>
  <sheetFormatPr defaultRowHeight="12.75"/>
  <cols>
    <col collapsed="false" hidden="false" max="1" min="1" style="0" width="3.99489795918367"/>
    <col collapsed="false" hidden="false" max="2" min="2" style="0" width="62.1428571428571"/>
    <col collapsed="false" hidden="false" max="3" min="3" style="0" width="13.4285714285714"/>
    <col collapsed="false" hidden="false" max="4" min="4" style="0" width="48.4234693877551"/>
    <col collapsed="false" hidden="false" max="5" min="5" style="0" width="70.5714285714286"/>
    <col collapsed="false" hidden="false" max="6" min="6" style="0" width="31.030612244898"/>
    <col collapsed="false" hidden="false" max="7" min="7" style="0" width="19.1428571428571"/>
    <col collapsed="false" hidden="false" max="8" min="8" style="0" width="15.2908163265306"/>
    <col collapsed="false" hidden="false" max="9" min="9" style="0" width="9.70918367346939"/>
    <col collapsed="false" hidden="false" max="10" min="10" style="0" width="13.8571428571429"/>
    <col collapsed="false" hidden="false" max="1025" min="11" style="0" width="8.72959183673469"/>
  </cols>
  <sheetData>
    <row collapsed="false" customFormat="false" customHeight="false" hidden="false" ht="16.45" outlineLevel="0" r="1">
      <c r="B1" s="87" t="s">
        <v>147</v>
      </c>
      <c r="C1" s="13"/>
      <c r="D1" s="13"/>
      <c r="E1" s="13"/>
      <c r="F1" s="13"/>
      <c r="G1" s="13"/>
      <c r="H1" s="13"/>
      <c r="I1" s="13"/>
    </row>
    <row collapsed="false" customFormat="false" customHeight="true" hidden="false" ht="16.5" outlineLevel="0" r="2">
      <c r="A2" s="88" t="s">
        <v>148</v>
      </c>
      <c r="B2" s="88"/>
      <c r="C2" s="88"/>
      <c r="D2" s="89"/>
      <c r="E2" s="13"/>
      <c r="F2" s="13"/>
      <c r="G2" s="13"/>
      <c r="H2" s="13"/>
      <c r="I2" s="13"/>
    </row>
    <row collapsed="false" customFormat="false" customHeight="true" hidden="false" ht="16.5" outlineLevel="0" r="3">
      <c r="A3" s="88" t="s">
        <v>149</v>
      </c>
      <c r="B3" s="88"/>
      <c r="C3" s="88" t="s">
        <v>142</v>
      </c>
      <c r="D3" s="90"/>
      <c r="E3" s="13"/>
      <c r="F3" s="13"/>
      <c r="G3" s="13"/>
      <c r="H3" s="13"/>
      <c r="I3" s="13"/>
    </row>
    <row collapsed="false" customFormat="false" customHeight="true" hidden="false" ht="13.4" outlineLevel="0" r="4">
      <c r="A4" s="91" t="s">
        <v>150</v>
      </c>
      <c r="B4" s="91"/>
      <c r="C4" s="92" t="n">
        <v>1164.7</v>
      </c>
      <c r="D4" s="93" t="s">
        <v>151</v>
      </c>
      <c r="E4" s="13"/>
      <c r="F4" s="13"/>
      <c r="G4" s="13"/>
      <c r="H4" s="13"/>
      <c r="I4" s="13"/>
    </row>
    <row collapsed="false" customFormat="false" customHeight="false" hidden="false" ht="12.85" outlineLevel="0" r="5">
      <c r="A5" s="13"/>
      <c r="B5" s="13"/>
      <c r="C5" s="13"/>
      <c r="D5" s="13"/>
      <c r="E5" s="13"/>
      <c r="F5" s="13"/>
      <c r="G5" s="13"/>
      <c r="H5" s="13"/>
      <c r="I5" s="13"/>
    </row>
    <row collapsed="false" customFormat="false" customHeight="false" hidden="false" ht="12.85" outlineLevel="0" r="6">
      <c r="A6" s="13"/>
      <c r="B6" s="13"/>
      <c r="C6" s="13"/>
      <c r="D6" s="13"/>
      <c r="E6" s="13"/>
      <c r="F6" s="13"/>
      <c r="G6" s="13"/>
      <c r="H6" s="13"/>
      <c r="I6" s="13"/>
    </row>
    <row collapsed="false" customFormat="false" customHeight="false" hidden="false" ht="12.85" outlineLevel="0" r="7">
      <c r="B7" s="13"/>
      <c r="C7" s="13"/>
      <c r="D7" s="13"/>
      <c r="E7" s="13"/>
      <c r="F7" s="13"/>
      <c r="G7" s="13"/>
      <c r="H7" s="13"/>
      <c r="I7" s="13"/>
    </row>
    <row collapsed="false" customFormat="false" customHeight="false" hidden="false" ht="16.45" outlineLevel="0" r="8">
      <c r="A8" s="13"/>
      <c r="B8" s="87" t="s">
        <v>152</v>
      </c>
      <c r="C8" s="13"/>
      <c r="D8" s="13"/>
      <c r="E8" s="13"/>
      <c r="F8" s="13"/>
      <c r="G8" s="13"/>
      <c r="H8" s="13"/>
      <c r="I8" s="13"/>
    </row>
    <row collapsed="false" customFormat="false" customHeight="false" hidden="false" ht="16.45" outlineLevel="0" r="9">
      <c r="A9" s="13"/>
      <c r="B9" s="87" t="s">
        <v>153</v>
      </c>
      <c r="C9" s="13"/>
      <c r="D9" s="13"/>
      <c r="E9" s="13"/>
      <c r="F9" s="13"/>
      <c r="G9" s="13"/>
      <c r="H9" s="13"/>
      <c r="I9" s="13"/>
    </row>
    <row collapsed="false" customFormat="false" customHeight="true" hidden="false" ht="18" outlineLevel="0" r="10">
      <c r="A10" s="94"/>
      <c r="B10" s="95" t="s">
        <v>154</v>
      </c>
      <c r="C10" s="95" t="s">
        <v>24</v>
      </c>
      <c r="D10" s="94" t="s">
        <v>155</v>
      </c>
      <c r="E10" s="94" t="s">
        <v>156</v>
      </c>
      <c r="F10" s="13"/>
      <c r="G10" s="13"/>
      <c r="H10" s="13"/>
      <c r="I10" s="13"/>
    </row>
    <row collapsed="false" customFormat="false" customHeight="false" hidden="false" ht="32.3" outlineLevel="0" r="11">
      <c r="A11" s="96" t="s">
        <v>2</v>
      </c>
      <c r="B11" s="89" t="s">
        <v>157</v>
      </c>
      <c r="C11" s="97" t="n">
        <f aca="false">1/12</f>
        <v>0.0833333333333333</v>
      </c>
      <c r="D11" s="98" t="s">
        <v>158</v>
      </c>
      <c r="E11" s="98" t="s">
        <v>159</v>
      </c>
      <c r="F11" s="13"/>
      <c r="G11" s="13"/>
      <c r="H11" s="13"/>
      <c r="I11" s="13"/>
    </row>
    <row collapsed="false" customFormat="false" customHeight="true" hidden="false" ht="31.5" outlineLevel="0" r="12">
      <c r="A12" s="96" t="s">
        <v>4</v>
      </c>
      <c r="B12" s="89" t="s">
        <v>40</v>
      </c>
      <c r="C12" s="97" t="n">
        <f aca="false">C11/3</f>
        <v>0.0277777777777778</v>
      </c>
      <c r="D12" s="98" t="s">
        <v>160</v>
      </c>
      <c r="E12" s="98" t="s">
        <v>161</v>
      </c>
      <c r="F12" s="13"/>
      <c r="G12" s="13"/>
      <c r="H12" s="13"/>
      <c r="I12" s="13"/>
    </row>
    <row collapsed="false" customFormat="false" customHeight="false" hidden="false" ht="16.15" outlineLevel="0" r="13">
      <c r="A13" s="13"/>
      <c r="B13" s="99" t="s">
        <v>162</v>
      </c>
      <c r="C13" s="97" t="n">
        <f aca="false">C12+C11</f>
        <v>0.111111111111111</v>
      </c>
      <c r="D13" s="98"/>
      <c r="E13" s="98"/>
      <c r="F13" s="13"/>
      <c r="G13" s="13"/>
      <c r="H13" s="13"/>
      <c r="I13" s="13"/>
    </row>
    <row collapsed="false" customFormat="false" customHeight="false" hidden="false" ht="29.85" outlineLevel="0" r="14">
      <c r="A14" s="13"/>
      <c r="B14" s="99" t="s">
        <v>163</v>
      </c>
      <c r="C14" s="97" t="n">
        <f aca="false">C26*C13</f>
        <v>0.0442222222222222</v>
      </c>
      <c r="D14" s="98"/>
      <c r="E14" s="98"/>
      <c r="F14" s="13"/>
      <c r="G14" s="13"/>
      <c r="H14" s="13"/>
      <c r="I14" s="13"/>
    </row>
    <row collapsed="false" customFormat="false" customHeight="false" hidden="false" ht="16.45" outlineLevel="0" r="15">
      <c r="A15" s="13"/>
      <c r="B15" s="87"/>
      <c r="C15" s="13"/>
      <c r="D15" s="13"/>
      <c r="E15" s="13"/>
      <c r="F15" s="13"/>
      <c r="G15" s="13"/>
      <c r="H15" s="13"/>
      <c r="I15" s="13"/>
    </row>
    <row collapsed="false" customFormat="false" customHeight="false" hidden="false" ht="44.75" outlineLevel="0" r="16">
      <c r="A16" s="13"/>
      <c r="B16" s="100" t="s">
        <v>164</v>
      </c>
      <c r="C16" s="13"/>
      <c r="D16" s="13"/>
      <c r="E16" s="13"/>
      <c r="F16" s="13"/>
      <c r="G16" s="13"/>
      <c r="H16" s="13"/>
      <c r="I16" s="13"/>
    </row>
    <row collapsed="false" customFormat="false" customHeight="false" hidden="false" ht="16.45" outlineLevel="0" r="17">
      <c r="A17" s="101"/>
      <c r="B17" s="102" t="s">
        <v>154</v>
      </c>
      <c r="C17" s="88" t="s">
        <v>24</v>
      </c>
      <c r="D17" s="88" t="s">
        <v>165</v>
      </c>
      <c r="E17" s="88" t="s">
        <v>156</v>
      </c>
      <c r="F17" s="13"/>
      <c r="G17" s="13"/>
      <c r="H17" s="13"/>
      <c r="I17" s="13"/>
    </row>
    <row collapsed="false" customFormat="false" customHeight="false" hidden="false" ht="16.15" outlineLevel="0" r="18">
      <c r="A18" s="96" t="s">
        <v>2</v>
      </c>
      <c r="B18" s="89" t="s">
        <v>45</v>
      </c>
      <c r="C18" s="97" t="n">
        <v>0.2</v>
      </c>
      <c r="D18" s="103" t="s">
        <v>166</v>
      </c>
      <c r="E18" s="98" t="s">
        <v>167</v>
      </c>
      <c r="F18" s="13"/>
      <c r="G18" s="13"/>
      <c r="H18" s="13"/>
      <c r="I18" s="13"/>
    </row>
    <row collapsed="false" customFormat="false" customHeight="false" hidden="false" ht="16.15" outlineLevel="0" r="19">
      <c r="A19" s="96" t="s">
        <v>4</v>
      </c>
      <c r="B19" s="89" t="s">
        <v>46</v>
      </c>
      <c r="C19" s="97" t="n">
        <v>0.025</v>
      </c>
      <c r="D19" s="103" t="s">
        <v>166</v>
      </c>
      <c r="E19" s="98" t="s">
        <v>168</v>
      </c>
      <c r="F19" s="13"/>
      <c r="G19" s="13"/>
      <c r="H19" s="13"/>
      <c r="I19" s="13"/>
    </row>
    <row collapsed="false" customFormat="false" customHeight="true" hidden="false" ht="21" outlineLevel="0" r="20">
      <c r="A20" s="96" t="s">
        <v>7</v>
      </c>
      <c r="B20" s="89" t="s">
        <v>169</v>
      </c>
      <c r="C20" s="97" t="n">
        <v>0.06</v>
      </c>
      <c r="D20" s="103" t="s">
        <v>166</v>
      </c>
      <c r="E20" s="98"/>
      <c r="F20" s="13"/>
      <c r="G20" s="13"/>
      <c r="H20" s="13"/>
      <c r="I20" s="13"/>
    </row>
    <row collapsed="false" customFormat="false" customHeight="false" hidden="false" ht="16.15" outlineLevel="0" r="21">
      <c r="A21" s="96" t="s">
        <v>9</v>
      </c>
      <c r="B21" s="89" t="s">
        <v>48</v>
      </c>
      <c r="C21" s="97" t="n">
        <v>0.015</v>
      </c>
      <c r="D21" s="103" t="s">
        <v>166</v>
      </c>
      <c r="E21" s="98" t="s">
        <v>170</v>
      </c>
      <c r="F21" s="13"/>
      <c r="G21" s="13"/>
      <c r="H21" s="13"/>
      <c r="I21" s="13"/>
    </row>
    <row collapsed="false" customFormat="false" customHeight="false" hidden="false" ht="16.15" outlineLevel="0" r="22">
      <c r="A22" s="96" t="s">
        <v>30</v>
      </c>
      <c r="B22" s="89" t="s">
        <v>49</v>
      </c>
      <c r="C22" s="97" t="n">
        <v>0.01</v>
      </c>
      <c r="D22" s="103" t="s">
        <v>166</v>
      </c>
      <c r="E22" s="98" t="s">
        <v>171</v>
      </c>
      <c r="F22" s="13"/>
      <c r="G22" s="13"/>
      <c r="H22" s="13"/>
      <c r="I22" s="13"/>
    </row>
    <row collapsed="false" customFormat="false" customHeight="false" hidden="false" ht="16.15" outlineLevel="0" r="23">
      <c r="A23" s="96" t="s">
        <v>32</v>
      </c>
      <c r="B23" s="89" t="s">
        <v>50</v>
      </c>
      <c r="C23" s="97" t="n">
        <v>0.006</v>
      </c>
      <c r="D23" s="103" t="s">
        <v>166</v>
      </c>
      <c r="E23" s="98" t="s">
        <v>172</v>
      </c>
      <c r="F23" s="13"/>
      <c r="G23" s="13"/>
      <c r="H23" s="13"/>
      <c r="I23" s="13"/>
    </row>
    <row collapsed="false" customFormat="false" customHeight="false" hidden="false" ht="16.15" outlineLevel="0" r="24">
      <c r="A24" s="96" t="s">
        <v>34</v>
      </c>
      <c r="B24" s="89" t="s">
        <v>51</v>
      </c>
      <c r="C24" s="97" t="n">
        <v>0.002</v>
      </c>
      <c r="D24" s="103"/>
      <c r="E24" s="98" t="s">
        <v>173</v>
      </c>
      <c r="F24" s="13"/>
      <c r="G24" s="13"/>
      <c r="H24" s="13"/>
      <c r="I24" s="13"/>
    </row>
    <row collapsed="false" customFormat="false" customHeight="false" hidden="false" ht="16.15" outlineLevel="0" r="25">
      <c r="A25" s="96" t="s">
        <v>52</v>
      </c>
      <c r="B25" s="89" t="s">
        <v>53</v>
      </c>
      <c r="C25" s="97" t="n">
        <v>0.08</v>
      </c>
      <c r="D25" s="103" t="s">
        <v>166</v>
      </c>
      <c r="E25" s="98" t="s">
        <v>174</v>
      </c>
      <c r="F25" s="13"/>
      <c r="G25" s="13"/>
      <c r="H25" s="13"/>
      <c r="I25" s="13"/>
    </row>
    <row collapsed="false" customFormat="false" customHeight="false" hidden="false" ht="15.25" outlineLevel="0" r="26">
      <c r="A26" s="13"/>
      <c r="B26" s="99" t="s">
        <v>175</v>
      </c>
      <c r="C26" s="104" t="n">
        <v>0.398</v>
      </c>
      <c r="D26" s="13"/>
      <c r="E26" s="13"/>
      <c r="F26" s="13"/>
      <c r="G26" s="13"/>
      <c r="H26" s="13"/>
      <c r="I26" s="13"/>
    </row>
    <row collapsed="false" customFormat="false" customHeight="true" hidden="false" ht="71.25" outlineLevel="0" r="27">
      <c r="A27" s="13"/>
      <c r="B27" s="105" t="s">
        <v>176</v>
      </c>
      <c r="C27" s="105"/>
      <c r="D27" s="105"/>
      <c r="E27" s="105"/>
      <c r="F27" s="13"/>
      <c r="G27" s="13"/>
      <c r="H27" s="13"/>
      <c r="I27" s="13"/>
    </row>
    <row collapsed="false" customFormat="false" customHeight="true" hidden="false" ht="34.5" outlineLevel="0" r="28">
      <c r="A28" s="13"/>
      <c r="B28" s="105" t="s">
        <v>177</v>
      </c>
      <c r="C28" s="105"/>
      <c r="D28" s="105"/>
      <c r="E28" s="105"/>
      <c r="F28" s="13"/>
      <c r="G28" s="13"/>
      <c r="H28" s="13"/>
      <c r="I28" s="13"/>
    </row>
    <row collapsed="false" customFormat="false" customHeight="false" hidden="false" ht="20.05" outlineLevel="0" r="29">
      <c r="A29" s="13"/>
      <c r="B29" s="87"/>
      <c r="C29" s="13"/>
      <c r="D29" s="13"/>
      <c r="E29" s="13"/>
      <c r="F29" s="106" t="s">
        <v>178</v>
      </c>
      <c r="G29" s="106"/>
      <c r="H29" s="106"/>
      <c r="I29" s="106"/>
    </row>
    <row collapsed="false" customFormat="false" customHeight="false" hidden="false" ht="17.65" outlineLevel="0" r="30">
      <c r="A30" s="13"/>
      <c r="B30" s="87" t="s">
        <v>179</v>
      </c>
      <c r="C30" s="13"/>
      <c r="D30" s="13"/>
      <c r="E30" s="13"/>
      <c r="F30" s="107" t="str">
        <f aca="false">A2</f>
        <v>Motoboy</v>
      </c>
      <c r="G30" s="107"/>
      <c r="H30" s="107"/>
      <c r="I30" s="107"/>
      <c r="J30" s="108"/>
    </row>
    <row collapsed="false" customFormat="false" customHeight="true" hidden="false" ht="60" outlineLevel="0" r="31">
      <c r="A31" s="109"/>
      <c r="B31" s="88" t="s">
        <v>154</v>
      </c>
      <c r="C31" s="88" t="s">
        <v>165</v>
      </c>
      <c r="D31" s="88"/>
      <c r="E31" s="88" t="s">
        <v>156</v>
      </c>
      <c r="F31" s="110" t="s">
        <v>180</v>
      </c>
      <c r="G31" s="111" t="s">
        <v>181</v>
      </c>
      <c r="H31" s="110" t="s">
        <v>182</v>
      </c>
      <c r="I31" s="110" t="s">
        <v>183</v>
      </c>
      <c r="J31" s="108"/>
    </row>
    <row collapsed="false" customFormat="false" customHeight="true" hidden="false" ht="61.15" outlineLevel="0" r="32">
      <c r="A32" s="112" t="s">
        <v>2</v>
      </c>
      <c r="B32" s="89" t="s">
        <v>56</v>
      </c>
      <c r="C32" s="91" t="s">
        <v>184</v>
      </c>
      <c r="D32" s="91"/>
      <c r="E32" s="113" t="s">
        <v>185</v>
      </c>
      <c r="F32" s="114"/>
      <c r="G32" s="114"/>
      <c r="H32" s="114"/>
      <c r="I32" s="114"/>
      <c r="J32" s="108"/>
    </row>
    <row collapsed="false" customFormat="false" customHeight="false" hidden="false" ht="25.35" outlineLevel="0" r="33">
      <c r="A33" s="112" t="s">
        <v>4</v>
      </c>
      <c r="B33" s="89" t="s">
        <v>57</v>
      </c>
      <c r="C33" s="92" t="n">
        <v>348.21</v>
      </c>
      <c r="D33" s="92"/>
      <c r="E33" s="113" t="s">
        <v>186</v>
      </c>
      <c r="F33" s="114"/>
      <c r="G33" s="114"/>
      <c r="H33" s="114"/>
      <c r="I33" s="114"/>
      <c r="J33" s="108"/>
    </row>
    <row collapsed="false" customFormat="false" customHeight="true" hidden="false" ht="65.25" outlineLevel="0" r="34">
      <c r="A34" s="115" t="s">
        <v>7</v>
      </c>
      <c r="B34" s="89" t="s">
        <v>187</v>
      </c>
      <c r="C34" s="116" t="n">
        <f aca="false">ROUND(I34,2)</f>
        <v>85.18</v>
      </c>
      <c r="D34" s="116"/>
      <c r="E34" s="117" t="str">
        <f aca="false">CONCATENATE("O valor da assistência médica e hospitalar foi cotado de acordo com o valor médio da proposta vencedora dos fornecedores "," ",F31,", ",G31," ","e"," ",H31,","," ","ressaltando que esse valor corresponde aos 40% a cargo do empregador, conforme convenção coletiva 2021/2021 registrada no MTE sob o nº  PI000036/2021.")</f>
        <v>O valor da assistência médica e hospitalar foi cotado de acordo com o valor médio da proposta vencedora dos fornecedores  TERCEIRIZAÇÕES ESTRELAS, G KELLY e SERVFAZ, ressaltando que esse valor corresponde aos 40% a cargo do empregador, conforme convenção coletiva 2021/2021 registrada no MTE sob o nº  PI000036/2021.</v>
      </c>
      <c r="F34" s="118" t="n">
        <v>40</v>
      </c>
      <c r="G34" s="118" t="n">
        <v>180</v>
      </c>
      <c r="H34" s="118" t="n">
        <v>35.54</v>
      </c>
      <c r="I34" s="118" t="n">
        <f aca="false">ROUND(SUM(F34:H34)/COUNTA(F34:H34),2)</f>
        <v>85.18</v>
      </c>
      <c r="J34" s="108"/>
    </row>
    <row collapsed="false" customFormat="false" customHeight="false" hidden="false" ht="24.85" outlineLevel="0" r="35">
      <c r="A35" s="112" t="s">
        <v>9</v>
      </c>
      <c r="B35" s="89" t="s">
        <v>60</v>
      </c>
      <c r="C35" s="116" t="n">
        <f aca="false">ROUND(I35,2)</f>
        <v>7.5</v>
      </c>
      <c r="D35" s="116"/>
      <c r="E35" s="117" t="str">
        <f aca="false">CONCATENATE("O valor corresponde ao valor médio da proposta dos fornecedores ",F31,", ",G31," e ",H31,".")</f>
        <v>O valor corresponde ao valor médio da proposta dos fornecedores TERCEIRIZAÇÕES ESTRELAS, G KELLY e SERVFAZ.</v>
      </c>
      <c r="F35" s="118" t="n">
        <v>15</v>
      </c>
      <c r="G35" s="118" t="n">
        <v>4</v>
      </c>
      <c r="H35" s="118" t="n">
        <v>3.5</v>
      </c>
      <c r="I35" s="118" t="n">
        <f aca="false">ROUND(SUM(F35:H35)/COUNTA(F35:H35),2)</f>
        <v>7.5</v>
      </c>
      <c r="J35" s="108"/>
    </row>
    <row collapsed="false" customFormat="false" customHeight="false" hidden="false" ht="15.25" outlineLevel="0" r="36">
      <c r="A36" s="112" t="s">
        <v>32</v>
      </c>
      <c r="B36" s="89" t="s">
        <v>35</v>
      </c>
      <c r="C36" s="119"/>
      <c r="D36" s="119"/>
      <c r="E36" s="120"/>
      <c r="F36" s="114"/>
      <c r="G36" s="114"/>
      <c r="H36" s="114"/>
      <c r="I36" s="114"/>
      <c r="J36" s="108"/>
    </row>
    <row collapsed="false" customFormat="false" customHeight="false" hidden="false" ht="16.45" outlineLevel="0" r="37">
      <c r="A37" s="13"/>
      <c r="B37" s="87"/>
      <c r="C37" s="13"/>
      <c r="D37" s="13"/>
      <c r="E37" s="13"/>
      <c r="F37" s="114"/>
      <c r="G37" s="114"/>
      <c r="H37" s="114"/>
      <c r="I37" s="114"/>
      <c r="J37" s="108"/>
    </row>
    <row collapsed="false" customFormat="false" customHeight="false" hidden="false" ht="20.05" outlineLevel="0" r="38">
      <c r="A38" s="13"/>
      <c r="B38" s="87" t="s">
        <v>188</v>
      </c>
      <c r="C38" s="13"/>
      <c r="D38" s="13"/>
      <c r="E38" s="13"/>
      <c r="F38" s="106" t="s">
        <v>178</v>
      </c>
      <c r="G38" s="106"/>
      <c r="H38" s="106"/>
      <c r="I38" s="106"/>
      <c r="J38" s="121"/>
      <c r="K38" s="13"/>
    </row>
    <row collapsed="false" customFormat="false" customHeight="false" hidden="false" ht="17.65" outlineLevel="0" r="39">
      <c r="A39" s="13"/>
      <c r="B39" s="87" t="s">
        <v>189</v>
      </c>
      <c r="C39" s="13"/>
      <c r="D39" s="13"/>
      <c r="E39" s="13"/>
      <c r="F39" s="107" t="str">
        <f aca="false">F30</f>
        <v>Motoboy</v>
      </c>
      <c r="G39" s="107"/>
      <c r="H39" s="107"/>
      <c r="I39" s="107"/>
      <c r="J39" s="121"/>
      <c r="K39" s="13"/>
    </row>
    <row collapsed="false" customFormat="false" customHeight="true" hidden="false" ht="47.25" outlineLevel="0" r="40">
      <c r="A40" s="109"/>
      <c r="B40" s="88" t="s">
        <v>154</v>
      </c>
      <c r="C40" s="95" t="s">
        <v>24</v>
      </c>
      <c r="D40" s="94" t="s">
        <v>155</v>
      </c>
      <c r="E40" s="94" t="s">
        <v>156</v>
      </c>
      <c r="F40" s="110" t="str">
        <f aca="false">F31</f>
        <v>TERCEIRIZAÇÕES ESTRELAS</v>
      </c>
      <c r="G40" s="111" t="str">
        <f aca="false">G31</f>
        <v>G KELLY</v>
      </c>
      <c r="H40" s="110" t="str">
        <f aca="false">H31</f>
        <v>SERVFAZ</v>
      </c>
      <c r="I40" s="110" t="s">
        <v>183</v>
      </c>
      <c r="J40" s="111" t="s">
        <v>190</v>
      </c>
      <c r="K40" s="13"/>
    </row>
    <row collapsed="false" customFormat="false" customHeight="false" hidden="false" ht="16.15" outlineLevel="0" r="41">
      <c r="A41" s="112" t="s">
        <v>2</v>
      </c>
      <c r="B41" s="89" t="s">
        <v>191</v>
      </c>
      <c r="C41" s="97" t="n">
        <f aca="false">1/12*J41</f>
        <v>0.00462</v>
      </c>
      <c r="D41" s="98" t="str">
        <f aca="false">"{["&amp;TEXT(J41,"0,00%")&amp;"x(1/12)]x100}"</f>
        <v>{[5,54%x(1/12)]x100}</v>
      </c>
      <c r="E41" s="98" t="s">
        <v>192</v>
      </c>
      <c r="F41" s="122" t="n">
        <v>0.0055</v>
      </c>
      <c r="G41" s="122" t="n">
        <v>0.00417</v>
      </c>
      <c r="H41" s="122" t="n">
        <v>0.0042</v>
      </c>
      <c r="I41" s="122" t="n">
        <f aca="false">ROUND(SUM(F41:H41)/COUNTA(F41:H41),5)</f>
        <v>0.00462</v>
      </c>
      <c r="J41" s="123" t="n">
        <f aca="false">I41*12</f>
        <v>0.05544</v>
      </c>
      <c r="K41" s="13"/>
    </row>
    <row collapsed="false" customFormat="false" customHeight="true" hidden="false" ht="38.45" outlineLevel="0" r="42">
      <c r="A42" s="112" t="s">
        <v>4</v>
      </c>
      <c r="B42" s="89" t="s">
        <v>74</v>
      </c>
      <c r="C42" s="97" t="n">
        <f aca="false">C41*0.08</f>
        <v>0.0003696</v>
      </c>
      <c r="D42" s="98" t="str">
        <f aca="false">0.08&amp;"x"&amp;D41</f>
        <v>0,08x{[5,54%x(1/12)]x100}</v>
      </c>
      <c r="E42" s="98" t="s">
        <v>193</v>
      </c>
      <c r="F42" s="122"/>
      <c r="G42" s="122"/>
      <c r="H42" s="122"/>
      <c r="I42" s="123"/>
      <c r="J42" s="121"/>
      <c r="K42" s="13"/>
    </row>
    <row collapsed="false" customFormat="false" customHeight="false" hidden="false" ht="32.3" outlineLevel="0" r="43">
      <c r="A43" s="112" t="s">
        <v>7</v>
      </c>
      <c r="B43" s="89" t="s">
        <v>194</v>
      </c>
      <c r="C43" s="97" t="n">
        <f aca="false">0.08*0.5*J41*(1+(1/12)+(1/12)+((1/3)*(1/12))+(1/12))</f>
        <v>0.0028336</v>
      </c>
      <c r="D43" s="124" t="str">
        <f aca="false">"{0,08 x 0,5 x "&amp;TEXT(J41,"0,00%")&amp;" x [ 1 + (1/12)+(1/12) + (1/3x1/12)+1/12 ] x 100}"</f>
        <v>{0,08 x 0,5 x 5,54% x [ 1 + (1/12)+(1/12) + (1/3x1/12)+1/12 ] x 100}</v>
      </c>
      <c r="E43" s="98" t="s">
        <v>195</v>
      </c>
      <c r="F43" s="122"/>
      <c r="G43" s="122"/>
      <c r="H43" s="122"/>
      <c r="I43" s="122"/>
      <c r="J43" s="123"/>
      <c r="K43" s="13"/>
    </row>
    <row collapsed="false" customFormat="false" customHeight="false" hidden="false" ht="15.25" outlineLevel="0" r="44">
      <c r="A44" s="112"/>
      <c r="B44" s="99" t="s">
        <v>196</v>
      </c>
      <c r="C44" s="104" t="inlineStr">
        <f aca="false">SUM(C41:C43)</f>
        <is>
          <t/>
        </is>
      </c>
      <c r="D44" s="103"/>
      <c r="E44" s="98"/>
      <c r="F44" s="114"/>
      <c r="G44" s="114"/>
      <c r="H44" s="114"/>
      <c r="I44" s="114"/>
      <c r="J44" s="121"/>
      <c r="K44" s="13"/>
    </row>
    <row collapsed="false" customFormat="false" customHeight="false" hidden="false" ht="15.25" outlineLevel="0" r="45">
      <c r="A45" s="112"/>
      <c r="B45" s="99"/>
      <c r="C45" s="97"/>
      <c r="D45" s="103"/>
      <c r="E45" s="98"/>
      <c r="F45" s="114"/>
      <c r="G45" s="114"/>
      <c r="H45" s="125"/>
      <c r="I45" s="114"/>
      <c r="J45" s="121"/>
      <c r="K45" s="13"/>
    </row>
    <row collapsed="false" customFormat="false" customHeight="true" hidden="false" ht="56.25" outlineLevel="0" r="46">
      <c r="A46" s="112"/>
      <c r="B46" s="126" t="str">
        <f aca="false">"¹ Estimativa de que "&amp;TEXT(J41,"0,00%")&amp;" dos funcionários serão demitidos sem justa causa por aviso prévio indenizado."</f>
        <v>¹ Estimativa de que 5,54% dos funcionários serão demitidos sem justa causa por aviso prévio indenizado.</v>
      </c>
      <c r="C46" s="126"/>
      <c r="D46" s="126"/>
      <c r="E46" s="126"/>
      <c r="F46" s="114"/>
      <c r="G46" s="114"/>
      <c r="H46" s="114"/>
      <c r="I46" s="114"/>
      <c r="J46" s="121"/>
      <c r="K46" s="13"/>
    </row>
    <row collapsed="false" customFormat="false" customHeight="true" hidden="false" ht="65.45" outlineLevel="0" r="47">
      <c r="A47" s="112"/>
      <c r="B47" s="126" t="str">
        <f aca="false">"²  Cálculo leva em consideração o total dos depósitos de FGTS que seriam feitos (FGTS sobre salário + 13º apropriado 1/12 + ferias apropriada 1/12 "&amp;"+ 1/3 de ferias apropriado 1/12 + o salário indenizado apropriado 1/12). A previsão de Multa do FGTS foi realizada sobre estimativa de que "&amp;TEXT(J41,"0,00%")&amp;" dos funcionários serão despedidos sem justa causa  por aviso prévio Indenizado."</f>
        <v>²  Cálculo leva em consideração o total dos depósitos de FGTS que seriam feitos (FGTS sobre salário + 13º apropriado 1/12 + ferias apropriada 1/12 + 1/3 de ferias apropriado 1/12 + o salário indenizado apropriado 1/12). A previsão de Multa do FGTS foi realizada sobre estimativa de que 5,54% dos funcionários serão despedidos sem justa causa  por aviso prévio Indenizado.</v>
      </c>
      <c r="C47" s="126"/>
      <c r="D47" s="126"/>
      <c r="E47" s="126"/>
      <c r="F47" s="114"/>
      <c r="G47" s="114"/>
      <c r="H47" s="114"/>
      <c r="I47" s="114"/>
      <c r="J47" s="108"/>
    </row>
    <row collapsed="false" customFormat="false" customHeight="false" hidden="false" ht="20.05" outlineLevel="0" r="48">
      <c r="A48" s="13"/>
      <c r="B48" s="87"/>
      <c r="C48" s="13"/>
      <c r="D48" s="13"/>
      <c r="E48" s="13"/>
      <c r="F48" s="106" t="s">
        <v>178</v>
      </c>
      <c r="G48" s="106"/>
      <c r="H48" s="106"/>
      <c r="I48" s="106"/>
      <c r="J48" s="121"/>
      <c r="K48" s="13"/>
    </row>
    <row collapsed="false" customFormat="false" customHeight="false" hidden="false" ht="17.65" outlineLevel="0" r="49">
      <c r="A49" s="13"/>
      <c r="B49" s="87" t="s">
        <v>197</v>
      </c>
      <c r="C49" s="13"/>
      <c r="D49" s="13"/>
      <c r="E49" s="13"/>
      <c r="F49" s="107" t="str">
        <f aca="false">F39</f>
        <v>Motoboy</v>
      </c>
      <c r="G49" s="107"/>
      <c r="H49" s="107"/>
      <c r="I49" s="107"/>
      <c r="J49" s="121"/>
      <c r="K49" s="13"/>
    </row>
    <row collapsed="false" customFormat="false" customHeight="false" hidden="false" ht="24.85" outlineLevel="0" r="50">
      <c r="A50" s="109"/>
      <c r="B50" s="88" t="s">
        <v>154</v>
      </c>
      <c r="C50" s="95" t="s">
        <v>24</v>
      </c>
      <c r="D50" s="94" t="s">
        <v>155</v>
      </c>
      <c r="E50" s="94" t="s">
        <v>156</v>
      </c>
      <c r="F50" s="110" t="str">
        <f aca="false">F40</f>
        <v>TERCEIRIZAÇÕES ESTRELAS</v>
      </c>
      <c r="G50" s="111" t="str">
        <f aca="false">G40</f>
        <v>G KELLY</v>
      </c>
      <c r="H50" s="110" t="str">
        <f aca="false">H40</f>
        <v>SERVFAZ</v>
      </c>
      <c r="I50" s="110" t="s">
        <v>183</v>
      </c>
      <c r="J50" s="111" t="s">
        <v>190</v>
      </c>
      <c r="K50" s="13"/>
    </row>
    <row collapsed="false" customFormat="false" customHeight="false" hidden="false" ht="16.15" outlineLevel="0" r="51">
      <c r="A51" s="112" t="s">
        <v>2</v>
      </c>
      <c r="B51" s="89" t="s">
        <v>198</v>
      </c>
      <c r="C51" s="97" t="n">
        <f aca="false">((7/30)/12)</f>
        <v>0.0194444444444444</v>
      </c>
      <c r="D51" s="98" t="s">
        <v>199</v>
      </c>
      <c r="E51" s="127" t="s">
        <v>200</v>
      </c>
      <c r="F51" s="123"/>
      <c r="G51" s="123"/>
      <c r="H51" s="123"/>
      <c r="I51" s="123"/>
      <c r="J51" s="121"/>
      <c r="K51" s="13"/>
    </row>
    <row collapsed="false" customFormat="false" customHeight="false" hidden="false" ht="29.85" outlineLevel="0" r="52">
      <c r="A52" s="112" t="s">
        <v>4</v>
      </c>
      <c r="B52" s="89" t="s">
        <v>79</v>
      </c>
      <c r="C52" s="97" t="n">
        <f aca="false">C51*C26</f>
        <v>0.00773888888888889</v>
      </c>
      <c r="D52" s="98" t="s">
        <v>201</v>
      </c>
      <c r="E52" s="98"/>
      <c r="F52" s="123"/>
      <c r="G52" s="114"/>
      <c r="H52" s="114"/>
      <c r="I52" s="114"/>
      <c r="J52" s="121"/>
      <c r="K52" s="13"/>
    </row>
    <row collapsed="false" customFormat="false" customHeight="false" hidden="false" ht="32.3" outlineLevel="0" r="53">
      <c r="A53" s="112" t="s">
        <v>7</v>
      </c>
      <c r="B53" s="89" t="s">
        <v>202</v>
      </c>
      <c r="C53" s="97" t="n">
        <f aca="false">0.08*0.5*J53*(1+(1/12)+(4/36))</f>
        <v>0.0295333333333333</v>
      </c>
      <c r="D53" s="98" t="str">
        <f aca="false">"{0,08 x 0,5 x "&amp;TEXT(J53,"0,00%")&amp;" x [ 1 + (1/12) + (4/36) ] x 100}"</f>
        <v>{0,08 x 0,5 x 61,81% x [ 1 + (1/12) + (4/36) ] x 100}</v>
      </c>
      <c r="E53" s="127" t="s">
        <v>195</v>
      </c>
      <c r="F53" s="122" t="n">
        <v>0.025</v>
      </c>
      <c r="G53" s="122" t="n">
        <v>0.0436</v>
      </c>
      <c r="H53" s="122" t="n">
        <v>0.02</v>
      </c>
      <c r="I53" s="122" t="n">
        <f aca="false">SUM(F53:H53)/3</f>
        <v>0.0295333333333333</v>
      </c>
      <c r="J53" s="128" t="n">
        <f aca="false">(I53*36)/(43*0.5*0.08)</f>
        <v>0.618139534883721</v>
      </c>
      <c r="K53" s="13"/>
    </row>
    <row collapsed="false" customFormat="false" customHeight="false" hidden="false" ht="15.25" outlineLevel="0" r="54">
      <c r="A54" s="13"/>
      <c r="B54" s="99" t="s">
        <v>203</v>
      </c>
      <c r="C54" s="104" t="inlineStr">
        <f aca="false">SUM(C51:C53)</f>
        <is>
          <t/>
        </is>
      </c>
      <c r="D54" s="38"/>
      <c r="E54" s="38"/>
      <c r="F54" s="114"/>
      <c r="G54" s="114"/>
      <c r="H54" s="114"/>
      <c r="I54" s="114"/>
      <c r="J54" s="121"/>
      <c r="K54" s="13"/>
    </row>
    <row collapsed="false" customFormat="false" customHeight="false" hidden="false" ht="15.25" outlineLevel="0" r="55">
      <c r="A55" s="13"/>
      <c r="B55" s="99"/>
      <c r="C55" s="104"/>
      <c r="D55" s="38"/>
      <c r="E55" s="38"/>
      <c r="F55" s="114"/>
      <c r="G55" s="114"/>
      <c r="H55" s="114"/>
      <c r="I55" s="114"/>
      <c r="J55" s="121"/>
      <c r="K55" s="13"/>
    </row>
    <row collapsed="false" customFormat="false" customHeight="true" hidden="false" ht="44.45" outlineLevel="0" r="56">
      <c r="A56" s="13"/>
      <c r="B56" s="129" t="s">
        <v>204</v>
      </c>
      <c r="C56" s="129"/>
      <c r="D56" s="129"/>
      <c r="E56" s="129"/>
      <c r="F56" s="114"/>
      <c r="G56" s="114"/>
      <c r="H56" s="114"/>
      <c r="I56" s="114"/>
      <c r="J56" s="121"/>
      <c r="K56" s="13"/>
    </row>
    <row collapsed="false" customFormat="false" customHeight="true" hidden="false" ht="58.5" outlineLevel="0" r="57">
      <c r="A57" s="13"/>
      <c r="B57" s="126" t="str">
        <f aca="false">"²  Cálculo leva em consideração o total dos depósitos de FGTS que seriam feitos (FGTS sobre salário + 13º apropriado 1/12 + ferias apropriada 1/12 "&amp;"+ 1/3 de ferias apropriado 1/12). A previsão de Multa do FGTS foi realizada sobre estimativa de que "&amp;TEXT(J53,"0,00%")&amp;" dos funcionários serão despedidos sem justa causa  por aviso prévio Trabalhado, sendo o que o restante dos funcionários pedirá demissão e não terá direito a multa."</f>
        <v>²  Cálculo leva em consideração o total dos depósitos de FGTS que seriam feitos (FGTS sobre salário + 13º apropriado 1/12 + ferias apropriada 1/12 + 1/3 de ferias apropriado 1/12). A previsão de Multa do FGTS foi realizada sobre estimativa de que 61,81% dos funcionários serão despedidos sem justa causa  por aviso prévio Trabalhado, sendo o que o restante dos funcionários pedirá demissão e não terá direito a multa.</v>
      </c>
      <c r="C57" s="126"/>
      <c r="D57" s="126"/>
      <c r="E57" s="126"/>
      <c r="F57" s="114"/>
      <c r="G57" s="114"/>
      <c r="H57" s="114"/>
      <c r="I57" s="114"/>
      <c r="J57" s="121"/>
      <c r="K57" s="13"/>
    </row>
    <row collapsed="false" customFormat="false" customHeight="false" hidden="false" ht="15.25" outlineLevel="0" r="58">
      <c r="A58" s="13"/>
      <c r="B58" s="99"/>
      <c r="C58" s="104"/>
      <c r="D58" s="38"/>
      <c r="E58" s="38"/>
      <c r="F58" s="114"/>
      <c r="G58" s="114"/>
      <c r="H58" s="114"/>
      <c r="I58" s="114"/>
      <c r="J58" s="121"/>
      <c r="K58" s="13"/>
    </row>
    <row collapsed="false" customFormat="true" customHeight="false" hidden="false" ht="16.45" outlineLevel="0" r="59" s="130">
      <c r="A59" s="13"/>
      <c r="B59" s="87" t="s">
        <v>205</v>
      </c>
      <c r="C59" s="98"/>
      <c r="D59" s="98"/>
      <c r="E59" s="98"/>
      <c r="F59" s="114"/>
      <c r="G59" s="103"/>
      <c r="H59" s="103"/>
      <c r="I59" s="103"/>
      <c r="J59" s="103"/>
      <c r="K59" s="13"/>
      <c r="O59" s="0"/>
      <c r="T59" s="0"/>
      <c r="Y59" s="0"/>
      <c r="AD59" s="0"/>
      <c r="AI59" s="0"/>
      <c r="AN59" s="0"/>
      <c r="AS59" s="0"/>
      <c r="AX59" s="0"/>
      <c r="BC59" s="0"/>
      <c r="BH59" s="0"/>
      <c r="BM59" s="0"/>
      <c r="BR59" s="0"/>
      <c r="BW59" s="0"/>
      <c r="CB59" s="0"/>
      <c r="CG59" s="0"/>
      <c r="CL59" s="0"/>
      <c r="CQ59" s="0"/>
      <c r="CV59" s="0"/>
      <c r="DA59" s="0"/>
      <c r="DF59" s="0"/>
      <c r="DK59" s="0"/>
      <c r="DP59" s="0"/>
      <c r="DU59" s="0"/>
      <c r="DZ59" s="0"/>
      <c r="EE59" s="0"/>
      <c r="EJ59" s="0"/>
      <c r="EO59" s="0"/>
      <c r="ET59" s="0"/>
      <c r="EY59" s="0"/>
      <c r="FD59" s="0"/>
      <c r="FI59" s="0"/>
      <c r="FN59" s="0"/>
      <c r="FS59" s="0"/>
      <c r="FX59" s="0"/>
      <c r="GC59" s="0"/>
      <c r="GH59" s="0"/>
      <c r="GM59" s="0"/>
      <c r="GR59" s="0"/>
      <c r="GW59" s="0"/>
      <c r="HB59" s="0"/>
      <c r="HG59" s="0"/>
      <c r="HL59" s="0"/>
      <c r="HQ59" s="0"/>
      <c r="HV59" s="0"/>
      <c r="IA59" s="0"/>
      <c r="IF59" s="0"/>
      <c r="IK59" s="0"/>
      <c r="IP59" s="0"/>
      <c r="IU59" s="0"/>
      <c r="IZ59" s="0"/>
      <c r="JE59" s="0"/>
      <c r="JJ59" s="0"/>
      <c r="JO59" s="0"/>
      <c r="JT59" s="0"/>
      <c r="JY59" s="0"/>
      <c r="KD59" s="0"/>
      <c r="KI59" s="0"/>
      <c r="KN59" s="0"/>
      <c r="KS59" s="0"/>
      <c r="KX59" s="0"/>
      <c r="LC59" s="0"/>
      <c r="LH59" s="0"/>
      <c r="LM59" s="0"/>
      <c r="LR59" s="0"/>
      <c r="LW59" s="0"/>
      <c r="MB59" s="0"/>
      <c r="MG59" s="0"/>
      <c r="ML59" s="0"/>
      <c r="MQ59" s="0"/>
      <c r="MV59" s="0"/>
      <c r="NA59" s="0"/>
      <c r="NF59" s="0"/>
      <c r="NK59" s="0"/>
      <c r="NP59" s="0"/>
      <c r="NU59" s="0"/>
      <c r="NZ59" s="0"/>
      <c r="OE59" s="0"/>
      <c r="OJ59" s="0"/>
      <c r="OO59" s="0"/>
      <c r="OT59" s="0"/>
      <c r="OY59" s="0"/>
      <c r="PD59" s="0"/>
      <c r="PI59" s="0"/>
      <c r="PN59" s="0"/>
      <c r="PS59" s="0"/>
      <c r="PX59" s="0"/>
      <c r="QC59" s="0"/>
      <c r="QH59" s="0"/>
      <c r="QM59" s="0"/>
      <c r="QR59" s="0"/>
      <c r="QW59" s="0"/>
      <c r="RB59" s="0"/>
      <c r="RG59" s="0"/>
      <c r="RL59" s="0"/>
      <c r="RQ59" s="0"/>
      <c r="RV59" s="0"/>
      <c r="SA59" s="0"/>
      <c r="SF59" s="0"/>
      <c r="SK59" s="0"/>
      <c r="SP59" s="0"/>
      <c r="SU59" s="0"/>
      <c r="SZ59" s="0"/>
      <c r="TE59" s="0"/>
      <c r="TJ59" s="0"/>
      <c r="TO59" s="0"/>
      <c r="TT59" s="0"/>
      <c r="TY59" s="0"/>
      <c r="UD59" s="0"/>
      <c r="UI59" s="0"/>
      <c r="UN59" s="0"/>
      <c r="US59" s="0"/>
      <c r="UX59" s="0"/>
      <c r="VC59" s="0"/>
      <c r="VH59" s="0"/>
      <c r="VM59" s="0"/>
      <c r="VR59" s="0"/>
      <c r="VW59" s="0"/>
      <c r="WB59" s="0"/>
      <c r="WG59" s="0"/>
      <c r="WL59" s="0"/>
      <c r="WQ59" s="0"/>
      <c r="WV59" s="0"/>
      <c r="XA59" s="0"/>
      <c r="XF59" s="0"/>
      <c r="XK59" s="0"/>
      <c r="XP59" s="0"/>
      <c r="XU59" s="0"/>
      <c r="XZ59" s="0"/>
      <c r="YE59" s="0"/>
      <c r="YJ59" s="0"/>
      <c r="YO59" s="0"/>
      <c r="YT59" s="0"/>
      <c r="YY59" s="0"/>
      <c r="ZD59" s="0"/>
      <c r="ZI59" s="0"/>
      <c r="ZN59" s="0"/>
      <c r="ZS59" s="0"/>
      <c r="ZX59" s="0"/>
      <c r="AAC59" s="0"/>
      <c r="AAH59" s="0"/>
      <c r="AAM59" s="0"/>
      <c r="AAR59" s="0"/>
      <c r="AAW59" s="0"/>
      <c r="ABB59" s="0"/>
      <c r="ABG59" s="0"/>
      <c r="ABL59" s="0"/>
      <c r="ABQ59" s="0"/>
      <c r="ABV59" s="0"/>
      <c r="ACA59" s="0"/>
      <c r="ACF59" s="0"/>
      <c r="ACK59" s="0"/>
      <c r="ACP59" s="0"/>
      <c r="ACU59" s="0"/>
      <c r="ACZ59" s="0"/>
      <c r="ADE59" s="0"/>
      <c r="ADJ59" s="0"/>
      <c r="ADO59" s="0"/>
      <c r="ADT59" s="0"/>
      <c r="ADY59" s="0"/>
      <c r="AED59" s="0"/>
      <c r="AEI59" s="0"/>
      <c r="AEN59" s="0"/>
      <c r="AES59" s="0"/>
      <c r="AEX59" s="0"/>
      <c r="AFC59" s="0"/>
      <c r="AFH59" s="0"/>
      <c r="AFM59" s="0"/>
      <c r="AFR59" s="0"/>
      <c r="AFW59" s="0"/>
      <c r="AGB59" s="0"/>
      <c r="AGG59" s="0"/>
      <c r="AGL59" s="0"/>
      <c r="AGQ59" s="0"/>
      <c r="AGV59" s="0"/>
      <c r="AHA59" s="0"/>
      <c r="AHF59" s="0"/>
      <c r="AHK59" s="0"/>
      <c r="AHP59" s="0"/>
      <c r="AHU59" s="0"/>
      <c r="AHZ59" s="0"/>
      <c r="AIE59" s="0"/>
      <c r="AIJ59" s="0"/>
      <c r="AIO59" s="0"/>
      <c r="AIT59" s="0"/>
      <c r="AIY59" s="0"/>
      <c r="AJD59" s="0"/>
      <c r="AJI59" s="0"/>
      <c r="AJN59" s="0"/>
      <c r="AJS59" s="0"/>
      <c r="AJX59" s="0"/>
      <c r="AKC59" s="0"/>
      <c r="AKH59" s="0"/>
      <c r="AKM59" s="0"/>
      <c r="AKR59" s="0"/>
      <c r="AKW59" s="0"/>
      <c r="ALB59" s="0"/>
      <c r="ALG59" s="0"/>
      <c r="ALL59" s="0"/>
      <c r="ALQ59" s="0"/>
      <c r="ALV59" s="0"/>
      <c r="AMA59" s="0"/>
      <c r="AMF59" s="0"/>
    </row>
    <row collapsed="false" customFormat="false" customHeight="false" hidden="false" ht="20.05" outlineLevel="0" r="60">
      <c r="A60" s="34"/>
      <c r="B60" s="34"/>
      <c r="C60" s="34"/>
      <c r="D60" s="34"/>
      <c r="E60" s="34"/>
      <c r="F60" s="106" t="s">
        <v>178</v>
      </c>
      <c r="G60" s="106"/>
      <c r="H60" s="106"/>
      <c r="I60" s="106"/>
      <c r="J60" s="121"/>
      <c r="K60" s="13"/>
    </row>
    <row collapsed="false" customFormat="false" customHeight="false" hidden="false" ht="17.65" outlineLevel="0" r="61">
      <c r="A61" s="13"/>
      <c r="B61" s="87" t="s">
        <v>88</v>
      </c>
      <c r="C61" s="38"/>
      <c r="D61" s="38"/>
      <c r="E61" s="38"/>
      <c r="F61" s="107" t="str">
        <f aca="false">F49</f>
        <v>Motoboy</v>
      </c>
      <c r="G61" s="107"/>
      <c r="H61" s="107"/>
      <c r="I61" s="107"/>
      <c r="J61" s="121"/>
      <c r="K61" s="13"/>
    </row>
    <row collapsed="false" customFormat="false" customHeight="false" hidden="false" ht="24.85" outlineLevel="0" r="62">
      <c r="A62" s="109"/>
      <c r="B62" s="88" t="s">
        <v>154</v>
      </c>
      <c r="C62" s="95" t="s">
        <v>24</v>
      </c>
      <c r="D62" s="94" t="s">
        <v>155</v>
      </c>
      <c r="E62" s="94" t="s">
        <v>156</v>
      </c>
      <c r="F62" s="110" t="str">
        <f aca="false">F50</f>
        <v>TERCEIRIZAÇÕES ESTRELAS</v>
      </c>
      <c r="G62" s="111" t="str">
        <f aca="false">G50</f>
        <v>G KELLY</v>
      </c>
      <c r="H62" s="110" t="str">
        <f aca="false">H50</f>
        <v>SERVFAZ</v>
      </c>
      <c r="I62" s="110" t="s">
        <v>183</v>
      </c>
      <c r="J62" s="111" t="s">
        <v>190</v>
      </c>
      <c r="K62" s="13"/>
    </row>
    <row collapsed="false" customFormat="false" customHeight="false" hidden="false" ht="16.15" outlineLevel="0" r="63">
      <c r="A63" s="112" t="s">
        <v>2</v>
      </c>
      <c r="B63" s="89" t="s">
        <v>206</v>
      </c>
      <c r="C63" s="97" t="n">
        <f aca="false">1/12</f>
        <v>0.0833333333333333</v>
      </c>
      <c r="D63" s="103"/>
      <c r="E63" s="127" t="s">
        <v>207</v>
      </c>
      <c r="F63" s="123"/>
      <c r="G63" s="122"/>
      <c r="H63" s="114"/>
      <c r="I63" s="114"/>
      <c r="J63" s="121"/>
      <c r="K63" s="13"/>
    </row>
    <row collapsed="false" customFormat="false" customHeight="false" hidden="false" ht="16.15" outlineLevel="0" r="64">
      <c r="A64" s="112" t="s">
        <v>4</v>
      </c>
      <c r="B64" s="89" t="s">
        <v>90</v>
      </c>
      <c r="C64" s="97" t="n">
        <f aca="false">C63*C26</f>
        <v>0.0331666666666667</v>
      </c>
      <c r="D64" s="103"/>
      <c r="E64" s="98"/>
      <c r="F64" s="114"/>
      <c r="G64" s="114"/>
      <c r="H64" s="114"/>
      <c r="I64" s="114"/>
      <c r="J64" s="121"/>
      <c r="K64" s="13"/>
    </row>
    <row collapsed="false" customFormat="false" customHeight="false" hidden="false" ht="16.15" outlineLevel="0" r="65">
      <c r="A65" s="112" t="s">
        <v>7</v>
      </c>
      <c r="B65" s="89" t="s">
        <v>208</v>
      </c>
      <c r="C65" s="97" t="n">
        <f aca="false">(J65/30)/12</f>
        <v>0.00185</v>
      </c>
      <c r="D65" s="98" t="str">
        <f aca="false">"{[(("&amp;J65&amp;" )/30)/12]x100}"</f>
        <v>{[((0,666 )/30)/12]x100}</v>
      </c>
      <c r="E65" s="98" t="s">
        <v>209</v>
      </c>
      <c r="F65" s="122" t="n">
        <v>0</v>
      </c>
      <c r="G65" s="122" t="n">
        <v>0.00556</v>
      </c>
      <c r="H65" s="122" t="n">
        <v>0</v>
      </c>
      <c r="I65" s="122" t="n">
        <f aca="false">ROUND(SUM(F65:H65)/COUNTA(F65:H65),5)</f>
        <v>0.00185</v>
      </c>
      <c r="J65" s="131" t="n">
        <f aca="false">I65*360</f>
        <v>0.666</v>
      </c>
      <c r="K65" s="13"/>
    </row>
    <row collapsed="false" customFormat="false" customHeight="false" hidden="false" ht="16.15" outlineLevel="0" r="66">
      <c r="A66" s="112" t="s">
        <v>9</v>
      </c>
      <c r="B66" s="89" t="s">
        <v>210</v>
      </c>
      <c r="C66" s="97" t="n">
        <f aca="false">((((J66)/30)/12))</f>
        <v>0.00464</v>
      </c>
      <c r="D66" s="105" t="str">
        <f aca="false">"{[(("&amp;J66&amp;")/30)/12]x100}"</f>
        <v>{[((1,6704)/30)/12]x100}</v>
      </c>
      <c r="E66" s="98" t="s">
        <v>211</v>
      </c>
      <c r="F66" s="122" t="n">
        <v>0.0028</v>
      </c>
      <c r="G66" s="122" t="n">
        <v>0.00833</v>
      </c>
      <c r="H66" s="122" t="n">
        <v>0.0028</v>
      </c>
      <c r="I66" s="122" t="n">
        <f aca="false">ROUND(SUM(F66:H66)/COUNTA(F66:H66),5)</f>
        <v>0.00464</v>
      </c>
      <c r="J66" s="131" t="n">
        <f aca="false">I66*360</f>
        <v>1.6704</v>
      </c>
      <c r="K66" s="13"/>
    </row>
    <row collapsed="false" customFormat="false" customHeight="false" hidden="false" ht="16.15" outlineLevel="0" r="67">
      <c r="A67" s="112" t="s">
        <v>30</v>
      </c>
      <c r="B67" s="89" t="s">
        <v>212</v>
      </c>
      <c r="C67" s="97" t="n">
        <f aca="false">((J67)/30)/12</f>
        <v>0.00277</v>
      </c>
      <c r="D67" s="98" t="str">
        <f aca="false">"{[(("&amp;J67&amp;"/30)/12]x100}"</f>
        <v>{[((0,9972/30)/12]x100}</v>
      </c>
      <c r="E67" s="98" t="s">
        <v>213</v>
      </c>
      <c r="F67" s="122" t="n">
        <v>0</v>
      </c>
      <c r="G67" s="122" t="n">
        <v>0.0083</v>
      </c>
      <c r="H67" s="122" t="n">
        <v>0</v>
      </c>
      <c r="I67" s="122" t="n">
        <f aca="false">ROUND(SUM(F67:H67)/COUNTA(F67:H67),5)</f>
        <v>0.00277</v>
      </c>
      <c r="J67" s="131" t="n">
        <f aca="false">I67*360</f>
        <v>0.9972</v>
      </c>
      <c r="K67" s="13"/>
    </row>
    <row collapsed="false" customFormat="false" customHeight="false" hidden="false" ht="16.15" outlineLevel="0" r="68">
      <c r="A68" s="112" t="s">
        <v>32</v>
      </c>
      <c r="B68" s="89" t="s">
        <v>214</v>
      </c>
      <c r="C68" s="97" t="n">
        <f aca="false">((5/30)/12)*J68</f>
        <v>0.00027</v>
      </c>
      <c r="D68" s="98" t="str">
        <f aca="false">"{[5/30)/12]x "&amp;TEXT(J68,"0,00%")&amp;"}x 100"</f>
        <v>{[5/30)/12]x 1,94%}x 100</v>
      </c>
      <c r="E68" s="98" t="s">
        <v>215</v>
      </c>
      <c r="F68" s="122" t="n">
        <v>0.0002</v>
      </c>
      <c r="G68" s="122" t="n">
        <v>0.00042</v>
      </c>
      <c r="H68" s="122" t="n">
        <v>0.0002</v>
      </c>
      <c r="I68" s="122" t="n">
        <f aca="false">ROUND(SUM(F68:H68)/COUNTA(F68:H68),5)</f>
        <v>0.00027</v>
      </c>
      <c r="J68" s="123" t="n">
        <f aca="false">(I68*360)/5</f>
        <v>0.01944</v>
      </c>
      <c r="K68" s="13"/>
    </row>
    <row collapsed="false" customFormat="false" customHeight="false" hidden="false" ht="16.15" outlineLevel="0" r="69">
      <c r="A69" s="112" t="s">
        <v>34</v>
      </c>
      <c r="B69" s="89" t="s">
        <v>216</v>
      </c>
      <c r="C69" s="97" t="n">
        <f aca="false">((15/30)/12)*J69</f>
        <v>0.0031</v>
      </c>
      <c r="D69" s="98" t="str">
        <f aca="false">"{[15/30)/12] x "&amp;TEXT(J69,"0,00%")&amp;"}x100"</f>
        <v>{[15/30)/12] x 7,44%}x100</v>
      </c>
      <c r="E69" s="98" t="s">
        <v>217</v>
      </c>
      <c r="F69" s="122" t="n">
        <v>0.0033</v>
      </c>
      <c r="G69" s="122" t="n">
        <v>0.00271</v>
      </c>
      <c r="H69" s="122" t="n">
        <v>0.0033</v>
      </c>
      <c r="I69" s="122" t="n">
        <f aca="false">ROUND(SUM(F69:H69)/COUNTA(F69:H69),5)</f>
        <v>0.0031</v>
      </c>
      <c r="J69" s="123" t="n">
        <f aca="false">(I69*360)/15</f>
        <v>0.0744</v>
      </c>
      <c r="K69" s="13"/>
    </row>
    <row collapsed="false" customFormat="false" customHeight="false" hidden="false" ht="32.3" outlineLevel="0" r="70">
      <c r="A70" s="112" t="s">
        <v>52</v>
      </c>
      <c r="B70" s="89" t="s">
        <v>218</v>
      </c>
      <c r="C70" s="97" t="n">
        <f aca="false">((1+(1/3))*((4/12))/12)*J70</f>
        <v>0.00047</v>
      </c>
      <c r="D70" s="98" t="str">
        <f aca="false">"{{[(1+1/3)x(4/12]/12}x "&amp;TEXT(J70,"0,00%")&amp;" x 100."</f>
        <v>{{[(1+1/3)x(4/12]/12}x 1,27% x 100.</v>
      </c>
      <c r="E70" s="127" t="s">
        <v>219</v>
      </c>
      <c r="F70" s="122" t="n">
        <v>0.0007</v>
      </c>
      <c r="G70" s="122" t="n">
        <v>0</v>
      </c>
      <c r="H70" s="122" t="n">
        <v>0.0007</v>
      </c>
      <c r="I70" s="122" t="n">
        <f aca="false">ROUND(SUM(F70:H70)/COUNTA(F70:H70),5)</f>
        <v>0.00047</v>
      </c>
      <c r="J70" s="123" t="n">
        <f aca="false">(I70*3*12*12)/16</f>
        <v>0.01269</v>
      </c>
      <c r="K70" s="13"/>
    </row>
    <row collapsed="false" customFormat="false" customHeight="true" hidden="false" ht="39" outlineLevel="0" r="71">
      <c r="A71" s="112" t="s">
        <v>97</v>
      </c>
      <c r="B71" s="89" t="s">
        <v>98</v>
      </c>
      <c r="C71" s="97" t="n">
        <f aca="false">SUM(C65:C70)*C26</f>
        <v>0.0052138</v>
      </c>
      <c r="D71" s="98"/>
      <c r="E71" s="127"/>
      <c r="F71" s="114"/>
      <c r="G71" s="114"/>
      <c r="H71" s="132"/>
      <c r="I71" s="114"/>
      <c r="J71" s="121"/>
      <c r="K71" s="13"/>
    </row>
    <row collapsed="false" customFormat="false" customHeight="false" hidden="false" ht="15.25" outlineLevel="0" r="72">
      <c r="A72" s="13"/>
      <c r="B72" s="99" t="s">
        <v>220</v>
      </c>
      <c r="C72" s="104" t="inlineStr">
        <f aca="false">SUM(C63:C71)</f>
        <is>
          <t/>
        </is>
      </c>
      <c r="D72" s="38"/>
      <c r="E72" s="38"/>
      <c r="F72" s="114"/>
      <c r="G72" s="114"/>
      <c r="H72" s="132"/>
      <c r="I72" s="114"/>
      <c r="J72" s="121"/>
      <c r="K72" s="13"/>
    </row>
    <row collapsed="false" customFormat="false" customHeight="false" hidden="false" ht="12.85" outlineLevel="0" r="73">
      <c r="A73" s="45"/>
      <c r="B73" s="45"/>
      <c r="C73" s="45"/>
      <c r="D73" s="45"/>
      <c r="E73" s="45"/>
      <c r="F73" s="114"/>
      <c r="G73" s="114"/>
      <c r="H73" s="114"/>
      <c r="I73" s="114"/>
      <c r="J73" s="108"/>
    </row>
    <row collapsed="false" customFormat="false" customHeight="true" hidden="false" ht="24.75" outlineLevel="0" r="74">
      <c r="A74" s="45"/>
      <c r="B74" s="126" t="str">
        <f aca="false">"¹ Média estimada "&amp;J65&amp;" de ausência justificada."</f>
        <v>¹ Média estimada 0,666 de ausência justificada.</v>
      </c>
      <c r="C74" s="126"/>
      <c r="D74" s="126"/>
      <c r="E74" s="126"/>
      <c r="F74" s="114"/>
      <c r="G74" s="114"/>
      <c r="H74" s="133"/>
      <c r="I74" s="114"/>
      <c r="J74" s="108"/>
    </row>
    <row collapsed="false" customFormat="false" customHeight="true" hidden="false" ht="24.75" outlineLevel="0" r="75">
      <c r="A75" s="13"/>
      <c r="B75" s="126" t="str">
        <f aca="false">"² Média estimada "&amp;J66&amp;" de ausências legais."</f>
        <v>² Média estimada 1,6704 de ausências legais.</v>
      </c>
      <c r="C75" s="126"/>
      <c r="D75" s="126"/>
      <c r="E75" s="126"/>
      <c r="F75" s="114"/>
      <c r="G75" s="114"/>
      <c r="H75" s="133"/>
      <c r="I75" s="114"/>
      <c r="J75" s="108"/>
    </row>
    <row collapsed="false" customFormat="false" customHeight="true" hidden="false" ht="24.75" outlineLevel="0" r="76">
      <c r="A76" s="13"/>
      <c r="B76" s="126" t="str">
        <f aca="false">"³ Média estimada "&amp;J67&amp;" de ausência por doença."</f>
        <v>³ Média estimada 0,9972 de ausência por doença.</v>
      </c>
      <c r="C76" s="126"/>
      <c r="D76" s="126"/>
      <c r="E76" s="126"/>
      <c r="F76" s="114"/>
      <c r="G76" s="114"/>
      <c r="H76" s="133"/>
      <c r="I76" s="114"/>
      <c r="J76" s="108"/>
    </row>
    <row collapsed="false" customFormat="false" customHeight="true" hidden="false" ht="52.5" outlineLevel="0" r="77">
      <c r="A77" s="13"/>
      <c r="B77" s="126" t="str">
        <f aca="false">"⁴ 5 (cinco) dias da licença por ano combinada com a estimativa de "&amp;TEXT(J68,"0,00%")&amp;" dos empregados tirando licença no ano. Foi considerada a estatimativa  de 5 "&amp;"e não 20 dias, pois mesmo que a empresa faça a opção pelo Programa empresa Cidadã,  a despesa é dedutível do IRPJ em função do art. 5º da Lei 11.770/2008 não havendo custo de reposição."</f>
        <v>⁴ 5 (cinco) dias da licença por ano combinada com a estimativa de 1,94% dos empregados tirando licença no ano. Foi considerada a estatimativa  de 5 e não 20 dias, pois mesmo que a empresa faça a opção pelo Programa empresa Cidadã,  a despesa é dedutível do IRPJ em função do art. 5º da Lei 11.770/2008 não havendo custo de reposição.</v>
      </c>
      <c r="C77" s="126"/>
      <c r="D77" s="126"/>
      <c r="E77" s="126"/>
      <c r="F77" s="114"/>
      <c r="G77" s="114"/>
      <c r="H77" s="133"/>
      <c r="I77" s="114"/>
      <c r="J77" s="108"/>
    </row>
    <row collapsed="false" customFormat="false" customHeight="true" hidden="false" ht="24" outlineLevel="0" r="78">
      <c r="A78" s="13"/>
      <c r="B78" s="126" t="str">
        <f aca="false">"⁵ 15 (quinze) dias por ano combinada com estimativa de "&amp;TEXT(J69,"0,00%")&amp;" dos empregados gozando do período no ano."</f>
        <v>⁵ 15 (quinze) dias por ano combinada com estimativa de 7,44% dos empregados gozando do período no ano.</v>
      </c>
      <c r="C78" s="126"/>
      <c r="D78" s="126"/>
      <c r="E78" s="126"/>
      <c r="F78" s="114"/>
      <c r="G78" s="114"/>
      <c r="H78" s="133"/>
      <c r="I78" s="114"/>
      <c r="J78" s="108"/>
    </row>
    <row collapsed="false" customFormat="false" customHeight="true" hidden="false" ht="63.75" outlineLevel="0" r="79">
      <c r="A79" s="13"/>
      <c r="B79" s="126" t="str">
        <f aca="false">" ⁶ Estimativa de "&amp;TEXT(J70,"0,00%")&amp;" dos empregados usufruindo de 4 (quatro) meses de licença . Ao invés do prazo de 180 dias ( 6 meses )  foi considerado 120 dias (4 meses),"&amp;" pois mesmo que a empresa faça a opção pelo Programa empresa Cidadã. a despesa é dedutível do IRPJ em função do art. 5º da Lei 11.770/2008). não havendo custo de reposição adicional."</f>
        <v> ⁶ Estimativa de 1,27% dos empregados usufruindo de 4 (quatro) meses de licença . Ao invés do prazo de 180 dias ( 6 meses )  foi considerado 120 dias (4 meses), pois mesmo que a empresa faça a opção pelo Programa empresa Cidadã. a despesa é dedutível do IRPJ em função do art. 5º da Lei 11.770/2008). não havendo custo de reposição adicional.</v>
      </c>
      <c r="C79" s="126"/>
      <c r="D79" s="126"/>
      <c r="E79" s="126"/>
      <c r="F79" s="114"/>
      <c r="G79" s="114"/>
      <c r="H79" s="114"/>
      <c r="I79" s="114"/>
      <c r="J79" s="108"/>
    </row>
    <row collapsed="false" customFormat="false" customHeight="false" hidden="false" ht="16.45" outlineLevel="0" r="80">
      <c r="A80" s="13"/>
      <c r="B80" s="87"/>
      <c r="C80" s="13"/>
      <c r="D80" s="13"/>
      <c r="E80" s="13"/>
      <c r="F80" s="114"/>
      <c r="G80" s="114"/>
      <c r="H80" s="114"/>
      <c r="I80" s="114"/>
      <c r="J80" s="108"/>
    </row>
    <row collapsed="false" customFormat="false" customHeight="false" hidden="false" ht="16.45" outlineLevel="0" r="81">
      <c r="A81" s="13"/>
      <c r="B81" s="87"/>
      <c r="C81" s="13"/>
      <c r="D81" s="13"/>
      <c r="E81" s="13"/>
      <c r="F81" s="114"/>
      <c r="G81" s="114"/>
      <c r="H81" s="114"/>
      <c r="I81" s="114"/>
      <c r="J81" s="108"/>
    </row>
    <row collapsed="false" customFormat="false" customHeight="false" hidden="false" ht="16.45" outlineLevel="0" r="82">
      <c r="A82" s="38"/>
      <c r="B82" s="87" t="s">
        <v>100</v>
      </c>
      <c r="C82" s="38"/>
      <c r="D82" s="38"/>
      <c r="E82" s="38"/>
      <c r="F82" s="114"/>
      <c r="G82" s="114"/>
      <c r="H82" s="114"/>
      <c r="I82" s="114"/>
      <c r="J82" s="108"/>
    </row>
    <row collapsed="false" customFormat="false" customHeight="true" hidden="false" ht="16.15" outlineLevel="0" r="83">
      <c r="A83" s="109"/>
      <c r="B83" s="88" t="s">
        <v>154</v>
      </c>
      <c r="C83" s="95" t="s">
        <v>24</v>
      </c>
      <c r="D83" s="94" t="s">
        <v>155</v>
      </c>
      <c r="E83" s="94" t="s">
        <v>156</v>
      </c>
      <c r="F83" s="114"/>
      <c r="G83" s="114"/>
      <c r="H83" s="114"/>
      <c r="I83" s="114"/>
      <c r="J83" s="108"/>
    </row>
    <row collapsed="false" customFormat="false" customHeight="false" hidden="false" ht="16.15" outlineLevel="0" r="84">
      <c r="A84" s="112" t="s">
        <v>2</v>
      </c>
      <c r="B84" s="89" t="s">
        <v>101</v>
      </c>
      <c r="C84" s="97" t="s">
        <v>166</v>
      </c>
      <c r="D84" s="103"/>
      <c r="E84" s="98"/>
      <c r="F84" s="114"/>
      <c r="G84" s="114"/>
      <c r="H84" s="114"/>
      <c r="I84" s="114"/>
      <c r="J84" s="108"/>
    </row>
    <row collapsed="false" customFormat="false" customHeight="false" hidden="false" ht="29.85" outlineLevel="0" r="85">
      <c r="A85" s="112" t="s">
        <v>4</v>
      </c>
      <c r="B85" s="89" t="s">
        <v>102</v>
      </c>
      <c r="C85" s="97" t="s">
        <v>166</v>
      </c>
      <c r="D85" s="103"/>
      <c r="E85" s="98"/>
      <c r="F85" s="114"/>
      <c r="G85" s="114"/>
      <c r="H85" s="114"/>
      <c r="I85" s="114"/>
      <c r="J85" s="108"/>
    </row>
    <row collapsed="false" customFormat="false" customHeight="false" hidden="false" ht="15.25" outlineLevel="0" r="86">
      <c r="A86" s="13"/>
      <c r="B86" s="99" t="s">
        <v>221</v>
      </c>
      <c r="C86" s="104" t="s">
        <v>166</v>
      </c>
      <c r="D86" s="38"/>
      <c r="E86" s="38"/>
      <c r="F86" s="114"/>
      <c r="G86" s="114"/>
      <c r="H86" s="114"/>
      <c r="I86" s="114"/>
      <c r="J86" s="108"/>
    </row>
    <row collapsed="false" customFormat="false" customHeight="false" hidden="false" ht="16.45" outlineLevel="0" r="87">
      <c r="A87" s="13"/>
      <c r="B87" s="87"/>
      <c r="C87" s="13"/>
      <c r="D87" s="13"/>
      <c r="E87" s="13"/>
      <c r="F87" s="114"/>
      <c r="G87" s="114"/>
      <c r="H87" s="114"/>
      <c r="I87" s="114"/>
      <c r="J87" s="108"/>
    </row>
    <row collapsed="false" customFormat="false" customHeight="false" hidden="false" ht="20.05" outlineLevel="0" r="88">
      <c r="A88" s="13"/>
      <c r="B88" s="87"/>
      <c r="C88" s="13"/>
      <c r="D88" s="13"/>
      <c r="E88" s="13"/>
      <c r="F88" s="106" t="s">
        <v>178</v>
      </c>
      <c r="G88" s="106"/>
      <c r="H88" s="106"/>
      <c r="I88" s="106"/>
      <c r="J88" s="108"/>
    </row>
    <row collapsed="false" customFormat="false" customHeight="false" hidden="false" ht="17.65" outlineLevel="0" r="89">
      <c r="A89" s="13"/>
      <c r="B89" s="87" t="s">
        <v>222</v>
      </c>
      <c r="C89" s="13"/>
      <c r="D89" s="13"/>
      <c r="E89" s="13"/>
      <c r="F89" s="107" t="str">
        <f aca="false">F49</f>
        <v>Motoboy</v>
      </c>
      <c r="G89" s="107"/>
      <c r="H89" s="107"/>
      <c r="I89" s="107"/>
      <c r="J89" s="108"/>
    </row>
    <row collapsed="false" customFormat="false" customHeight="true" hidden="false" ht="26.25" outlineLevel="0" r="90">
      <c r="A90" s="109"/>
      <c r="B90" s="88" t="s">
        <v>154</v>
      </c>
      <c r="C90" s="88" t="s">
        <v>165</v>
      </c>
      <c r="D90" s="88"/>
      <c r="E90" s="88" t="s">
        <v>156</v>
      </c>
      <c r="F90" s="110" t="str">
        <f aca="false">F62</f>
        <v>TERCEIRIZAÇÕES ESTRELAS</v>
      </c>
      <c r="G90" s="111" t="str">
        <f aca="false">G62</f>
        <v>G KELLY</v>
      </c>
      <c r="H90" s="110" t="str">
        <f aca="false">H62</f>
        <v>SERVFAZ</v>
      </c>
      <c r="I90" s="110" t="s">
        <v>183</v>
      </c>
      <c r="J90" s="108"/>
    </row>
    <row collapsed="false" customFormat="false" customHeight="true" hidden="false" ht="28.9" outlineLevel="0" r="91">
      <c r="A91" s="112" t="s">
        <v>2</v>
      </c>
      <c r="B91" s="134" t="s">
        <v>112</v>
      </c>
      <c r="C91" s="135" t="n">
        <f aca="false">ROUND(I91,2)</f>
        <v>76.94</v>
      </c>
      <c r="D91" s="103"/>
      <c r="E91" s="113" t="s">
        <v>223</v>
      </c>
      <c r="F91" s="118" t="n">
        <v>90</v>
      </c>
      <c r="G91" s="118" t="n">
        <v>90.83</v>
      </c>
      <c r="H91" s="118" t="n">
        <v>50</v>
      </c>
      <c r="I91" s="118" t="n">
        <f aca="false">ROUND(SUM(F91:H91)/COUNTA(F91:H91),2)</f>
        <v>76.94</v>
      </c>
      <c r="J91" s="108"/>
    </row>
    <row collapsed="false" customFormat="false" customHeight="false" hidden="false" ht="16.15" outlineLevel="0" r="92">
      <c r="A92" s="112" t="s">
        <v>4</v>
      </c>
      <c r="B92" s="134" t="s">
        <v>224</v>
      </c>
      <c r="C92" s="135" t="n">
        <f aca="false">ROUND(I92,2)</f>
        <v>79.17</v>
      </c>
      <c r="D92" s="103"/>
      <c r="E92" s="113" t="s">
        <v>223</v>
      </c>
      <c r="F92" s="118" t="n">
        <v>80</v>
      </c>
      <c r="G92" s="118" t="n">
        <v>75</v>
      </c>
      <c r="H92" s="118" t="n">
        <v>82.5</v>
      </c>
      <c r="I92" s="118" t="n">
        <f aca="false">ROUND(SUM(F92:H92)/COUNTA(F92:H92),2)</f>
        <v>79.17</v>
      </c>
      <c r="J92" s="108"/>
    </row>
    <row collapsed="false" customFormat="false" customHeight="false" hidden="false" ht="15.25" outlineLevel="0" r="93">
      <c r="A93" s="13"/>
      <c r="B93" s="99"/>
      <c r="C93" s="104"/>
      <c r="D93" s="13"/>
      <c r="E93" s="13"/>
      <c r="F93" s="114"/>
      <c r="G93" s="114"/>
      <c r="H93" s="114"/>
      <c r="I93" s="114"/>
      <c r="J93" s="108"/>
    </row>
    <row collapsed="false" customFormat="false" customHeight="false" hidden="false" ht="16.45" outlineLevel="0" r="94">
      <c r="B94" s="87" t="s">
        <v>225</v>
      </c>
      <c r="C94" s="13"/>
      <c r="D94" s="13"/>
      <c r="E94" s="13"/>
      <c r="F94" s="114"/>
      <c r="G94" s="114"/>
      <c r="H94" s="114"/>
      <c r="I94" s="114"/>
      <c r="J94" s="108"/>
    </row>
    <row collapsed="false" customFormat="false" customHeight="false" hidden="false" ht="12.85" outlineLevel="0" r="95">
      <c r="B95" s="13"/>
      <c r="C95" s="13"/>
      <c r="D95" s="13"/>
      <c r="E95" s="13"/>
      <c r="F95" s="114"/>
      <c r="G95" s="114"/>
      <c r="H95" s="114"/>
      <c r="I95" s="114"/>
      <c r="J95" s="108"/>
    </row>
    <row collapsed="false" customFormat="false" customHeight="false" hidden="false" ht="15.25" outlineLevel="0" r="96">
      <c r="B96" s="136" t="s">
        <v>226</v>
      </c>
      <c r="C96" s="13"/>
      <c r="D96" s="13"/>
      <c r="E96" s="13"/>
      <c r="F96" s="114"/>
      <c r="G96" s="114"/>
      <c r="H96" s="114"/>
      <c r="I96" s="114"/>
      <c r="J96" s="108"/>
    </row>
    <row collapsed="false" customFormat="false" customHeight="false" hidden="false" ht="15.25" outlineLevel="0" r="97">
      <c r="B97" s="137"/>
      <c r="C97" s="13"/>
      <c r="D97" s="13"/>
      <c r="E97" s="13"/>
      <c r="F97" s="114"/>
      <c r="G97" s="114"/>
      <c r="H97" s="114"/>
      <c r="I97" s="114"/>
      <c r="J97" s="108"/>
    </row>
    <row collapsed="false" customFormat="false" customHeight="true" hidden="false" ht="89.25" outlineLevel="0" r="98">
      <c r="B98" s="105" t="s">
        <v>227</v>
      </c>
      <c r="C98" s="105"/>
      <c r="D98" s="105"/>
      <c r="E98" s="105"/>
      <c r="F98" s="114"/>
      <c r="G98" s="114"/>
      <c r="H98" s="114"/>
      <c r="I98" s="114"/>
      <c r="J98" s="108"/>
    </row>
    <row collapsed="false" customFormat="false" customHeight="false" hidden="false" ht="15.25" outlineLevel="0" r="99">
      <c r="B99" s="136"/>
      <c r="C99" s="13"/>
      <c r="D99" s="13"/>
      <c r="E99" s="13"/>
      <c r="F99" s="114"/>
      <c r="G99" s="114"/>
      <c r="H99" s="114"/>
      <c r="I99" s="114"/>
      <c r="J99" s="108"/>
    </row>
    <row collapsed="false" customFormat="false" customHeight="false" hidden="false" ht="15.25" outlineLevel="0" r="100">
      <c r="B100" s="136" t="s">
        <v>228</v>
      </c>
      <c r="C100" s="13"/>
      <c r="D100" s="13"/>
      <c r="E100" s="13"/>
      <c r="F100" s="114"/>
      <c r="G100" s="114"/>
      <c r="H100" s="114"/>
      <c r="I100" s="114"/>
      <c r="J100" s="108"/>
    </row>
    <row collapsed="false" customFormat="false" customHeight="true" hidden="false" ht="41.25" outlineLevel="0" r="101">
      <c r="B101" s="105" t="s">
        <v>229</v>
      </c>
      <c r="C101" s="105"/>
      <c r="D101" s="105"/>
      <c r="E101" s="105"/>
      <c r="F101" s="106" t="s">
        <v>178</v>
      </c>
      <c r="G101" s="106"/>
      <c r="H101" s="106"/>
      <c r="I101" s="106"/>
      <c r="J101" s="108"/>
    </row>
    <row collapsed="false" customFormat="false" customHeight="true" hidden="false" ht="28.9" outlineLevel="0" r="102">
      <c r="B102" s="105" t="s">
        <v>230</v>
      </c>
      <c r="C102" s="105"/>
      <c r="D102" s="105"/>
      <c r="E102" s="105"/>
      <c r="F102" s="107" t="str">
        <f aca="false">F89</f>
        <v>Motoboy</v>
      </c>
      <c r="G102" s="107"/>
      <c r="H102" s="107"/>
      <c r="I102" s="107"/>
      <c r="J102" s="108"/>
    </row>
    <row collapsed="false" customFormat="false" customHeight="true" hidden="false" ht="55.5" outlineLevel="0" r="103">
      <c r="B103" s="94" t="s">
        <v>154</v>
      </c>
      <c r="C103" s="95" t="s">
        <v>24</v>
      </c>
      <c r="D103" s="98"/>
      <c r="E103" s="105"/>
      <c r="F103" s="110" t="str">
        <f aca="false">F90</f>
        <v>TERCEIRIZAÇÕES ESTRELAS</v>
      </c>
      <c r="G103" s="111" t="str">
        <f aca="false">G90</f>
        <v>G KELLY</v>
      </c>
      <c r="H103" s="110" t="str">
        <f aca="false">H90</f>
        <v>SERVFAZ</v>
      </c>
      <c r="I103" s="110" t="s">
        <v>183</v>
      </c>
      <c r="J103" s="108"/>
    </row>
    <row collapsed="false" customFormat="false" customHeight="true" hidden="false" ht="40.5" outlineLevel="0" r="104">
      <c r="B104" s="89" t="s">
        <v>231</v>
      </c>
      <c r="C104" s="97" t="inlineStr">
        <f aca="false">I104</f>
        <is>
          <t/>
        </is>
      </c>
      <c r="D104" s="98"/>
      <c r="E104" s="105"/>
      <c r="F104" s="123" t="n">
        <v>0.1</v>
      </c>
      <c r="G104" s="123" t="n">
        <v>0.2</v>
      </c>
      <c r="H104" s="123" t="n">
        <v>0.09</v>
      </c>
      <c r="I104" s="122" t="n">
        <f aca="false">ROUND(SUM(F104:H104)/COUNTA(F104:H104),5)</f>
        <v>0.13</v>
      </c>
      <c r="J104" s="108"/>
    </row>
    <row collapsed="false" customFormat="false" customHeight="true" hidden="false" ht="25.5" outlineLevel="0" r="105">
      <c r="B105" s="89" t="s">
        <v>232</v>
      </c>
      <c r="C105" s="97" t="inlineStr">
        <f aca="false">I105</f>
        <is>
          <t/>
        </is>
      </c>
      <c r="D105" s="98"/>
      <c r="E105" s="105"/>
      <c r="F105" s="123" t="n">
        <v>0.1</v>
      </c>
      <c r="G105" s="123" t="n">
        <v>0.2</v>
      </c>
      <c r="H105" s="123" t="n">
        <v>0.09</v>
      </c>
      <c r="I105" s="122" t="n">
        <f aca="false">ROUND(SUM(F105:H105)/COUNTA(F105:H105),5)</f>
        <v>0.13</v>
      </c>
    </row>
    <row collapsed="false" customFormat="false" customHeight="true" hidden="false" ht="25.5" outlineLevel="0" r="106">
      <c r="B106" s="89" t="s">
        <v>233</v>
      </c>
      <c r="C106" s="97"/>
      <c r="D106" s="98"/>
      <c r="E106" s="105"/>
      <c r="F106" s="13"/>
      <c r="G106" s="13"/>
      <c r="H106" s="13"/>
      <c r="I106" s="13"/>
    </row>
    <row collapsed="false" customFormat="false" customHeight="true" hidden="false" ht="39" outlineLevel="0" r="107">
      <c r="B107" s="89" t="s">
        <v>122</v>
      </c>
      <c r="C107" s="97" t="n">
        <f aca="false">0.0165+0.076</f>
        <v>0.0925</v>
      </c>
      <c r="D107" s="98"/>
      <c r="E107" s="105"/>
      <c r="F107" s="13"/>
      <c r="G107" s="13"/>
      <c r="H107" s="13"/>
      <c r="I107" s="13"/>
    </row>
    <row collapsed="false" customFormat="false" customHeight="true" hidden="false" ht="25.5" outlineLevel="0" r="108">
      <c r="B108" s="89" t="s">
        <v>234</v>
      </c>
      <c r="C108" s="97"/>
      <c r="D108" s="98"/>
      <c r="E108" s="105"/>
      <c r="F108" s="13"/>
      <c r="G108" s="13"/>
      <c r="H108" s="13"/>
      <c r="I108" s="13"/>
    </row>
    <row collapsed="false" customFormat="false" customHeight="true" hidden="false" ht="25.5" outlineLevel="0" r="109">
      <c r="B109" s="89" t="s">
        <v>124</v>
      </c>
      <c r="C109" s="97" t="n">
        <v>0.05</v>
      </c>
      <c r="D109" s="98"/>
      <c r="E109" s="105"/>
      <c r="F109" s="13"/>
      <c r="G109" s="13"/>
      <c r="H109" s="13"/>
      <c r="I109" s="13"/>
    </row>
    <row collapsed="false" customFormat="false" customHeight="false" hidden="false" ht="15.25" outlineLevel="0" r="110">
      <c r="B110" s="138"/>
      <c r="C110" s="13"/>
      <c r="D110" s="13"/>
      <c r="E110" s="13"/>
      <c r="F110" s="13"/>
      <c r="G110" s="13"/>
      <c r="H110" s="13"/>
      <c r="I110" s="13"/>
    </row>
    <row collapsed="false" customFormat="false" customHeight="false" hidden="false" ht="15.25" outlineLevel="0" r="111">
      <c r="B111" s="138" t="s">
        <v>235</v>
      </c>
      <c r="C111" s="13"/>
      <c r="D111" s="13"/>
      <c r="E111" s="13"/>
      <c r="F111" s="13"/>
      <c r="G111" s="13"/>
      <c r="H111" s="13"/>
      <c r="I111" s="13"/>
    </row>
    <row collapsed="false" customFormat="false" customHeight="false" hidden="false" ht="15.25" outlineLevel="0" r="112">
      <c r="B112" s="139" t="s">
        <v>236</v>
      </c>
      <c r="C112" s="13"/>
      <c r="D112" s="13"/>
      <c r="E112" s="13"/>
      <c r="F112" s="13"/>
      <c r="G112" s="13"/>
      <c r="H112" s="13"/>
      <c r="I112" s="13"/>
    </row>
    <row collapsed="false" customFormat="false" customHeight="false" hidden="false" ht="12.85" outlineLevel="0" r="113">
      <c r="B113" s="13"/>
      <c r="C113" s="13"/>
      <c r="D113" s="13"/>
      <c r="E113" s="13"/>
      <c r="F113" s="13"/>
      <c r="G113" s="13"/>
      <c r="H113" s="13"/>
      <c r="I113" s="13"/>
    </row>
  </sheetData>
  <mergeCells count="37">
    <mergeCell ref="A2:C2"/>
    <mergeCell ref="A3:B3"/>
    <mergeCell ref="A4:B4"/>
    <mergeCell ref="B27:E27"/>
    <mergeCell ref="B28:E28"/>
    <mergeCell ref="F29:I29"/>
    <mergeCell ref="F30:I30"/>
    <mergeCell ref="C31:D31"/>
    <mergeCell ref="C32:D32"/>
    <mergeCell ref="C33:D33"/>
    <mergeCell ref="C34:D34"/>
    <mergeCell ref="C35:D35"/>
    <mergeCell ref="C36:D36"/>
    <mergeCell ref="F38:I38"/>
    <mergeCell ref="F39:I39"/>
    <mergeCell ref="B46:E46"/>
    <mergeCell ref="B47:E47"/>
    <mergeCell ref="F48:I48"/>
    <mergeCell ref="F49:I49"/>
    <mergeCell ref="B56:E56"/>
    <mergeCell ref="B57:E57"/>
    <mergeCell ref="F60:I60"/>
    <mergeCell ref="F61:I61"/>
    <mergeCell ref="B74:E74"/>
    <mergeCell ref="B75:E75"/>
    <mergeCell ref="B76:E76"/>
    <mergeCell ref="B77:E77"/>
    <mergeCell ref="B78:E78"/>
    <mergeCell ref="B79:E79"/>
    <mergeCell ref="F88:I88"/>
    <mergeCell ref="F89:I89"/>
    <mergeCell ref="C90:D90"/>
    <mergeCell ref="B98:E98"/>
    <mergeCell ref="B101:E101"/>
    <mergeCell ref="F101:I101"/>
    <mergeCell ref="B102:E102"/>
    <mergeCell ref="F102:I102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LibreOffice/4.0.4.2$Windows_x86 LibreOffice_project/9e9821abd0ffdbc09cd8c52eaa574fa09eb08f2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2010-12-08T17:56:29.00Z</dcterms:created>
  <dc:creator>Patrick</dc:creator>
  <cp:lastModifiedBy>TJ</cp:lastModifiedBy>
  <cp:lastPrinted>2018-01-15T15:44:29.00Z</cp:lastPrinted>
  <dcterms:modified xsi:type="dcterms:W3CDTF">2018-02-02T13:25:04.00Z</dcterms:modified>
  <cp:revision>0</cp:revision>
</cp:coreProperties>
</file>