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0605F16F-E6C0-4627-B595-9C11EF115A1E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MOTORISTA" sheetId="1" r:id="rId1"/>
    <sheet name="CUSTO DE DESLOCAMENTO DIÁRIO " sheetId="2" r:id="rId2"/>
    <sheet name="Memoria de Cálculo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0" i="3" l="1"/>
  <c r="I92" i="3"/>
  <c r="C92" i="3"/>
  <c r="D115" i="1" s="1"/>
  <c r="D119" i="1" s="1"/>
  <c r="C71" i="3"/>
  <c r="C97" i="1" s="1"/>
  <c r="D97" i="1" s="1"/>
  <c r="C70" i="3"/>
  <c r="C96" i="1" s="1"/>
  <c r="C69" i="3"/>
  <c r="C95" i="1" s="1"/>
  <c r="C68" i="3"/>
  <c r="C94" i="1" s="1"/>
  <c r="D94" i="1" s="1"/>
  <c r="C67" i="3"/>
  <c r="C93" i="1" s="1"/>
  <c r="D93" i="1" s="1"/>
  <c r="C66" i="3"/>
  <c r="C64" i="3"/>
  <c r="C65" i="3" s="1"/>
  <c r="C91" i="1" s="1"/>
  <c r="C53" i="3"/>
  <c r="C51" i="3"/>
  <c r="C52" i="3" s="1"/>
  <c r="C78" i="1" s="1"/>
  <c r="C43" i="3"/>
  <c r="C41" i="3"/>
  <c r="C42" i="3" s="1"/>
  <c r="C72" i="1" s="1"/>
  <c r="N35" i="3"/>
  <c r="D58" i="1"/>
  <c r="N33" i="3"/>
  <c r="C33" i="3"/>
  <c r="D56" i="1" s="1"/>
  <c r="I31" i="3"/>
  <c r="C10" i="3"/>
  <c r="C36" i="1" s="1"/>
  <c r="D13" i="2"/>
  <c r="D7" i="2"/>
  <c r="D8" i="2" s="1"/>
  <c r="E6" i="2"/>
  <c r="D6" i="2"/>
  <c r="F4" i="2"/>
  <c r="F6" i="2" s="1"/>
  <c r="B142" i="1"/>
  <c r="B140" i="1"/>
  <c r="B139" i="1"/>
  <c r="B138" i="1"/>
  <c r="B137" i="1"/>
  <c r="B136" i="1"/>
  <c r="C130" i="1"/>
  <c r="C129" i="1"/>
  <c r="C128" i="1"/>
  <c r="C126" i="1"/>
  <c r="C125" i="1"/>
  <c r="D105" i="1"/>
  <c r="D110" i="1" s="1"/>
  <c r="C104" i="1"/>
  <c r="C103" i="1"/>
  <c r="C105" i="1" s="1"/>
  <c r="C90" i="1"/>
  <c r="C79" i="1"/>
  <c r="C73" i="1"/>
  <c r="D59" i="1"/>
  <c r="D57" i="1"/>
  <c r="D55" i="1"/>
  <c r="C50" i="1"/>
  <c r="C49" i="1"/>
  <c r="D49" i="1" s="1"/>
  <c r="C48" i="1"/>
  <c r="C47" i="1"/>
  <c r="C46" i="1"/>
  <c r="C45" i="1"/>
  <c r="C44" i="1"/>
  <c r="C43" i="1"/>
  <c r="D19" i="1"/>
  <c r="D25" i="1" s="1"/>
  <c r="D32" i="1" s="1"/>
  <c r="D17" i="1"/>
  <c r="D46" i="1" l="1"/>
  <c r="D50" i="1"/>
  <c r="D90" i="1"/>
  <c r="D43" i="1"/>
  <c r="D47" i="1"/>
  <c r="D54" i="1"/>
  <c r="D73" i="1"/>
  <c r="D95" i="1"/>
  <c r="D44" i="1"/>
  <c r="D48" i="1"/>
  <c r="C77" i="1"/>
  <c r="D77" i="1" s="1"/>
  <c r="D36" i="1"/>
  <c r="C35" i="3"/>
  <c r="C72" i="3"/>
  <c r="C98" i="1" s="1"/>
  <c r="D96" i="1"/>
  <c r="D91" i="1"/>
  <c r="D140" i="1"/>
  <c r="D51" i="1"/>
  <c r="D65" i="1" s="1"/>
  <c r="D80" i="1"/>
  <c r="D85" i="1" s="1"/>
  <c r="D72" i="1"/>
  <c r="D78" i="1"/>
  <c r="D60" i="1"/>
  <c r="D66" i="1" s="1"/>
  <c r="D136" i="1"/>
  <c r="D45" i="1"/>
  <c r="D79" i="1"/>
  <c r="F7" i="2"/>
  <c r="F8" i="2" s="1"/>
  <c r="C51" i="1"/>
  <c r="C92" i="1"/>
  <c r="D92" i="1" s="1"/>
  <c r="C131" i="1"/>
  <c r="C71" i="1"/>
  <c r="C11" i="3"/>
  <c r="E7" i="2"/>
  <c r="E8" i="2" s="1"/>
  <c r="C80" i="1" l="1"/>
  <c r="F12" i="2"/>
  <c r="F11" i="2"/>
  <c r="F10" i="2"/>
  <c r="F13" i="2" s="1"/>
  <c r="F14" i="2" s="1"/>
  <c r="D98" i="1"/>
  <c r="D99" i="1" s="1"/>
  <c r="D109" i="1" s="1"/>
  <c r="D111" i="1" s="1"/>
  <c r="C74" i="1"/>
  <c r="D71" i="1"/>
  <c r="D74" i="1" s="1"/>
  <c r="D84" i="1" s="1"/>
  <c r="D86" i="1" s="1"/>
  <c r="D138" i="1" s="1"/>
  <c r="E11" i="2"/>
  <c r="E12" i="2"/>
  <c r="E10" i="2"/>
  <c r="C99" i="1"/>
  <c r="C37" i="1"/>
  <c r="C12" i="3"/>
  <c r="C13" i="3" s="1"/>
  <c r="D139" i="1" l="1"/>
  <c r="E22" i="2"/>
  <c r="F15" i="2"/>
  <c r="D37" i="1"/>
  <c r="D38" i="1" s="1"/>
  <c r="D39" i="1" s="1"/>
  <c r="D40" i="1" s="1"/>
  <c r="D64" i="1" s="1"/>
  <c r="D67" i="1" s="1"/>
  <c r="D137" i="1" s="1"/>
  <c r="C38" i="1"/>
  <c r="C39" i="1" s="1"/>
  <c r="C40" i="1" s="1"/>
  <c r="E13" i="2"/>
  <c r="E14" i="2" s="1"/>
  <c r="D141" i="1" l="1"/>
  <c r="E15" i="2"/>
  <c r="D22" i="2"/>
  <c r="D121" i="1"/>
  <c r="D125" i="1" s="1"/>
  <c r="E23" i="2"/>
  <c r="E24" i="2" s="1"/>
  <c r="F16" i="2"/>
  <c r="D126" i="1" l="1"/>
  <c r="E16" i="2"/>
  <c r="D23" i="2"/>
  <c r="D24" i="2" s="1"/>
  <c r="D130" i="1" l="1"/>
  <c r="D129" i="1"/>
  <c r="D128" i="1"/>
  <c r="D131" i="1" l="1"/>
  <c r="D142" i="1" s="1"/>
  <c r="D143" i="1" s="1"/>
  <c r="C148" i="1" s="1"/>
  <c r="E148" i="1" s="1"/>
  <c r="G148" i="1" l="1"/>
  <c r="C154" i="1"/>
  <c r="C155" i="1" l="1"/>
  <c r="C156" i="1" s="1"/>
  <c r="G1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1" authorId="0" shapeId="0" xr:uid="{00000000-0006-0000-02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1" authorId="0" shapeId="0" xr:uid="{00000000-0006-0000-02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1" authorId="0" shapeId="0" xr:uid="{00000000-0006-0000-02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<sst xmlns="http://schemas.openxmlformats.org/spreadsheetml/2006/main" count="481" uniqueCount="299">
  <si>
    <t xml:space="preserve">Categoria profissional: </t>
  </si>
  <si>
    <t>MOTORISTA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</si>
  <si>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</si>
  <si>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</si>
  <si>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</si>
  <si>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</si>
  <si>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</si>
  <si>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</si>
  <si>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</si>
  <si>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</si>
  <si>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</si>
  <si>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</si>
  <si>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</si>
  <si>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</si>
  <si>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>Tipo de Serviço:</t>
  </si>
  <si>
    <t xml:space="preserve">Apoio Administrativo </t>
  </si>
  <si>
    <t xml:space="preserve">Unidade de Medida: </t>
  </si>
  <si>
    <t xml:space="preserve">Posto </t>
  </si>
  <si>
    <t>Quantidade total a contratar (em função da unidade de medida):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</si>
  <si>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</si>
  <si>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</si>
  <si>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</si>
  <si>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</si>
  <si>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</si>
  <si>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</si>
  <si>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</si>
  <si>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</si>
  <si>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</si>
  <si>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</si>
  <si>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</si>
  <si>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</si>
  <si>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</si>
  <si>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</si>
  <si>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</si>
  <si>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</si>
  <si>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</si>
  <si>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</si>
  <si>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</si>
  <si>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</si>
  <si>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</si>
  <si>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</si>
  <si>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</si>
  <si>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</si>
  <si>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Férias e Adicional de Férias</t>
  </si>
  <si>
    <t>TOTAL A + B</t>
  </si>
  <si>
    <t>Incidência do Submódulo 2.2 sobre o TOTAL A + B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</si>
  <si>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</si>
  <si>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</si>
  <si>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</si>
  <si>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</si>
  <si>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</si>
  <si>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</si>
  <si>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</si>
  <si>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</si>
  <si>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</si>
  <si>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</si>
  <si>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</si>
  <si>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</si>
  <si>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</si>
  <si>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</t>
  </si>
  <si>
    <t>Auxílio alimentação (vales, cesta básica, entre outros) – CCT 2022.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</si>
  <si>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</si>
  <si>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</si>
  <si>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</si>
  <si>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</si>
  <si>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</si>
  <si>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</si>
  <si>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</si>
  <si>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</si>
  <si>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</si>
  <si>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</si>
  <si>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</si>
  <si>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</si>
  <si>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</si>
  <si>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</si>
  <si>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</si>
  <si>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</si>
  <si>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</si>
  <si>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</si>
  <si>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</si>
  <si>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</si>
  <si>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</si>
  <si>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</si>
  <si>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</si>
  <si>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</si>
  <si>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</si>
  <si>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</si>
  <si>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</si>
  <si>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</si>
  <si>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</si>
  <si>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</si>
  <si>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</si>
  <si>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</si>
  <si>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</si>
  <si>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</si>
  <si>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</si>
  <si>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</si>
  <si>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</si>
  <si>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</si>
  <si>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</si>
  <si>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</si>
  <si>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</si>
  <si>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</si>
  <si>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</si>
  <si>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4.2</t>
  </si>
  <si>
    <t>Submódulo 4.2 - Intrajornada</t>
  </si>
  <si>
    <t>Intervalo para Repouso ou Alimentação</t>
  </si>
  <si>
    <t>Incidência do Submódulo 2.2 sobre Intervalo para Repouso ou Alimentação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</si>
  <si>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</si>
  <si>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</si>
  <si>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</si>
  <si>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</si>
  <si>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</si>
  <si>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</si>
  <si>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</si>
  <si>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</si>
  <si>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</si>
  <si>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</si>
  <si>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</si>
  <si>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</si>
  <si>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</si>
  <si>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</si>
  <si>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</si>
  <si>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</si>
  <si>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</si>
  <si>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</si>
  <si>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</si>
  <si>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</si>
  <si>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</si>
  <si>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</si>
  <si>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</si>
  <si>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</si>
  <si>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</si>
  <si>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</si>
  <si>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</si>
  <si>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</si>
  <si>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</si>
  <si>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</si>
  <si>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</si>
  <si>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</si>
  <si>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</si>
  <si>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</si>
  <si>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 xml:space="preserve">MOTORISTA 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</si>
  <si>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</si>
  <si>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</si>
  <si>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</si>
  <si>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</si>
  <si>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</si>
  <si>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</si>
  <si>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</si>
  <si>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</si>
  <si>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 xml:space="preserve">CUSTO DE DESLOCAMENTO DIÁRIO </t>
  </si>
  <si>
    <t xml:space="preserve">TOTAL </t>
  </si>
  <si>
    <t>PARCIAL</t>
  </si>
  <si>
    <t xml:space="preserve">I – VALOR DIÁRIO </t>
  </si>
  <si>
    <t xml:space="preserve">CUSTOS INDIRETOS, TRIBUTOS E LUCRO </t>
  </si>
  <si>
    <t xml:space="preserve">A - CUSTOS INDIRETOS </t>
  </si>
  <si>
    <t>B - LUCRO</t>
  </si>
  <si>
    <t>SUBTOTAL (A+B)</t>
  </si>
  <si>
    <t>TRIBUTAÇÃO SOBRE O FATURAMENTO</t>
  </si>
  <si>
    <t>C - ISSQN</t>
  </si>
  <si>
    <r>
      <rPr>
        <b/>
        <sz val="11"/>
        <rFont val="Arial"/>
        <family val="2"/>
        <charset val="1"/>
      </rPr>
      <t xml:space="preserve">D - </t>
    </r>
    <r>
      <rPr>
        <b/>
        <sz val="11"/>
        <rFont val="Cambria"/>
        <family val="1"/>
        <charset val="1"/>
      </rPr>
      <t>COFINS</t>
    </r>
  </si>
  <si>
    <r>
      <rPr>
        <b/>
        <sz val="11"/>
        <rFont val="Arial"/>
        <family val="2"/>
        <charset val="1"/>
      </rPr>
      <t xml:space="preserve">E - </t>
    </r>
    <r>
      <rPr>
        <b/>
        <sz val="11"/>
        <rFont val="Cambria"/>
        <family val="1"/>
        <charset val="1"/>
      </rPr>
      <t>PIS</t>
    </r>
  </si>
  <si>
    <t>SUBTOTAL (C+D+E)</t>
  </si>
  <si>
    <t>II - VALOR TOTAL  DIÁRIO  ( VALOR DA DIÁRIA + A+ B+ C+ D + E)</t>
  </si>
  <si>
    <t>VALOR DE 15 DESLOCAMENTOS MENSAIS (ESTIMATIVA)¹</t>
  </si>
  <si>
    <t>VALOR DO DESLOCAMENTO ANUAL (VALOR DA ESTIMATIVA MENSAL X 12)</t>
  </si>
  <si>
    <t>¹Foram estimadas 15 diárias mensais.</t>
  </si>
  <si>
    <t xml:space="preserve">Valor mensal proposto por posto de trabalho </t>
  </si>
  <si>
    <t xml:space="preserve">Valor mensal proposto multiplicado por 15 postos </t>
  </si>
  <si>
    <t>Valor Global da Proposta (Valor mensal  estimado multiplicado por 30 meses do contrato)</t>
  </si>
  <si>
    <t>Observações:</t>
  </si>
  <si>
    <t xml:space="preserve">tributos,  devém ser os mesmos ofertados nas planilhas de custos e formação de preços do posto de trabalho </t>
  </si>
  <si>
    <t>Módulo 1: Composição da remuneração Salário Base</t>
  </si>
  <si>
    <t>Estado</t>
  </si>
  <si>
    <t>Piauí</t>
  </si>
  <si>
    <t xml:space="preserve">Salário base estabelecido na CCT: PI000011/2022. 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</si>
  <si>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</si>
  <si>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</si>
  <si>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</si>
  <si>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</si>
  <si>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</si>
  <si>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</si>
  <si>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</si>
  <si>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</si>
  <si>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Adicional de Férias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</si>
  <si>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</si>
  <si>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</si>
  <si>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</si>
  <si>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</si>
  <si>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</si>
  <si>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</si>
  <si>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</si>
  <si>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</si>
  <si>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</si>
  <si>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</si>
  <si>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</si>
  <si>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</si>
  <si>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</si>
  <si>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</si>
  <si>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</si>
  <si>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</si>
  <si>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</si>
  <si>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</si>
  <si>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</si>
  <si>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</si>
  <si>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</si>
  <si>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</si>
  <si>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</si>
  <si>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</si>
  <si>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</si>
  <si>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</si>
  <si>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>ARQUIVISTA</t>
  </si>
  <si>
    <t xml:space="preserve">MUTUAL </t>
  </si>
  <si>
    <t>SERVFAZ</t>
  </si>
  <si>
    <t>MÉDIA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</si>
  <si>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</si>
  <si>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</si>
  <si>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</si>
  <si>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t>Auxílio alimentação (vales, cesta básica, entre outros)</t>
  </si>
  <si>
    <r>
      <rPr>
        <sz val="11"/>
        <rFont val="Times New Roman"/>
        <family val="1"/>
        <charset val="1"/>
      </rP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>PI000011/2022.</t>
    </r>
  </si>
  <si>
    <t>Assistência médica e familiar (40% a cargo do empregador conforme convenção coletiva 2022/2022 registrada no MTE sob o nº PI00011/2022)</t>
  </si>
  <si>
    <t>O valor corresponde ao valor médio praticado no mercado conforme resgistrado nas propostas dos forncedores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</si>
  <si>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</si>
  <si>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</si>
  <si>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</si>
  <si>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</si>
  <si>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</si>
  <si>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</si>
  <si>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</si>
  <si>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</si>
  <si>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</si>
  <si>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</si>
  <si>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</si>
  <si>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</si>
  <si>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</si>
  <si>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</si>
  <si>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</si>
  <si>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</si>
  <si>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</si>
  <si>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</si>
  <si>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</si>
  <si>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</si>
  <si>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</si>
  <si>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</si>
  <si>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</si>
  <si>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</si>
  <si>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</si>
  <si>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</si>
  <si>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</si>
  <si>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</si>
  <si>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</si>
  <si>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</si>
  <si>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</si>
  <si>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</si>
  <si>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</si>
  <si>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</si>
  <si>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</si>
  <si>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</si>
  <si>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</si>
  <si>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</si>
  <si>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</si>
  <si>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</si>
  <si>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</si>
  <si>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</si>
  <si>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</si>
  <si>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</si>
  <si>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</si>
  <si>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</si>
  <si>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</si>
  <si>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</si>
  <si>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</si>
  <si>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</si>
  <si>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</si>
  <si>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</si>
  <si>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</si>
  <si>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 xml:space="preserve">UNIFORME - MOTORISTA </t>
  </si>
  <si>
    <t>Módulo 5:  Insumos Diversos</t>
  </si>
  <si>
    <t xml:space="preserve">SERVFAZ </t>
  </si>
  <si>
    <t xml:space="preserve">MÉDIA </t>
  </si>
  <si>
    <t>Uniformes</t>
  </si>
  <si>
    <t>,</t>
  </si>
  <si>
    <t>Módulo 6 : Custos indiretos, tributos e lucro</t>
  </si>
  <si>
    <t>Lucro e Despesas Indiretas</t>
  </si>
  <si>
    <r>
      <rPr>
        <sz val="11"/>
        <color rgb="FF000000"/>
        <rFont val="Times New Roman"/>
        <family val="1"/>
        <charset val="1"/>
      </rPr>
      <t xml:space="preserve"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https://file://10.254.0.55/Precatorio/01.%20CONTADORIA/MARCELO/Comiss%C3%A3o%20de%20Contrata%C3%A7%C3%A3o/Caderno%20Tecnico%202019.pdf</t>
    </r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</si>
  <si>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</si>
  <si>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</si>
  <si>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</si>
  <si>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</si>
  <si>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</si>
  <si>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</si>
  <si>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</si>
  <si>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</si>
  <si>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</si>
  <si>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 2 - Com a reforma trabalhista e a nova redação do art. 457 da CLT, o total de diárias pago não integra a remuneração, passando a ser todo indenizado, a saber:
"Art. 457. § 2º As importâncias, ainda que habituais, pagas a título de ajuda de custo, auxílio-alimentação, vedado seu pagamento em dinheiro,diárias para viagem, prêmios e abonos não integram a remuneração do empregado, não se incorporam ao contrato de trabalho e não constituem base de incidência de qualquer encargo trabalhista e previdenciário."</t>
  </si>
  <si>
    <t xml:space="preserve">3 - O custo de deslocamento diário não será objeto de disputa no certame, devendo ser obeservado o valor já estabelecido. </t>
  </si>
  <si>
    <t xml:space="preserve">4 - Os percentuais ofertados pela licitante no cálculo do valor total do custo de deslocamento diário, referentes à Custo indiretos, Lucro e </t>
  </si>
  <si>
    <t xml:space="preserve">1 - Valor diário do custo de deslocamento estabelecido no Provimento Conjunto nº 21/2019, com modificações resultantes do Provimento Conjunto 63/2022 e 69/2022. </t>
  </si>
  <si>
    <t xml:space="preserve">Valor apurado em planilha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</si>
</sst>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&quot;R$ &quot;#,##0.00;[Red]&quot;-R$ &quot;#,##0.00"/>
    <numFmt numFmtId="171" formatCode="0.000000"/>
    <numFmt numFmtId="172" formatCode="0.0000%"/>
    <numFmt numFmtId="173" formatCode="0.0000000"/>
    <numFmt numFmtId="174" formatCode="0.00000"/>
    <numFmt numFmtId="175" formatCode="0.00000%"/>
  </numFmts>
  <fonts count="26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name val="Cambria"/>
      <family val="1"/>
      <charset val="1"/>
    </font>
    <font>
      <sz val="10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8EB4E3"/>
        <bgColor rgb="FF9DC3E6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D9D9D9"/>
        <bgColor rgb="FFC9C9C9"/>
      </patternFill>
    </fill>
    <fill>
      <patternFill patternType="solid">
        <fgColor rgb="FFC9C9C9"/>
        <bgColor rgb="FFC0C0C0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9">
    <xf numFmtId="0" fontId="0" fillId="0" borderId="0"/>
    <xf numFmtId="168" fontId="24" fillId="0" borderId="0" applyBorder="0" applyProtection="0"/>
    <xf numFmtId="167" fontId="24" fillId="0" borderId="0" applyBorder="0" applyProtection="0"/>
    <xf numFmtId="9" fontId="24" fillId="0" borderId="0" applyBorder="0" applyProtection="0"/>
    <xf numFmtId="0" fontId="2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6" xfId="0" applyFont="1" applyBorder="1" applyAlignment="1"/>
    <xf numFmtId="164" fontId="2" fillId="0" borderId="7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5" borderId="5" xfId="0" applyFont="1" applyFill="1" applyBorder="1" applyAlignment="1">
      <alignment wrapText="1"/>
    </xf>
    <xf numFmtId="0" fontId="2" fillId="0" borderId="0" xfId="0" applyFont="1" applyBorder="1"/>
    <xf numFmtId="165" fontId="2" fillId="4" borderId="3" xfId="0" applyNumberFormat="1" applyFont="1" applyFill="1" applyBorder="1" applyAlignment="1"/>
    <xf numFmtId="0" fontId="3" fillId="5" borderId="5" xfId="0" applyFont="1" applyFill="1" applyBorder="1" applyAlignment="1"/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Font="1" applyBorder="1" applyAlignment="1" applyProtection="1"/>
    <xf numFmtId="165" fontId="2" fillId="0" borderId="0" xfId="0" applyNumberFormat="1" applyFont="1" applyBorder="1"/>
    <xf numFmtId="165" fontId="4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/>
    <xf numFmtId="0" fontId="3" fillId="0" borderId="3" xfId="0" applyFont="1" applyBorder="1" applyAlignment="1">
      <alignment wrapText="1"/>
    </xf>
    <xf numFmtId="165" fontId="2" fillId="0" borderId="3" xfId="0" applyNumberFormat="1" applyFont="1" applyBorder="1"/>
    <xf numFmtId="0" fontId="3" fillId="5" borderId="8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64" fontId="2" fillId="0" borderId="9" xfId="0" applyNumberFormat="1" applyFont="1" applyBorder="1" applyAlignment="1"/>
    <xf numFmtId="165" fontId="3" fillId="0" borderId="9" xfId="0" applyNumberFormat="1" applyFont="1" applyBorder="1"/>
    <xf numFmtId="0" fontId="3" fillId="5" borderId="10" xfId="0" applyFont="1" applyFill="1" applyBorder="1" applyAlignment="1"/>
    <xf numFmtId="0" fontId="3" fillId="5" borderId="7" xfId="0" applyFont="1" applyFill="1" applyBorder="1" applyAlignment="1">
      <alignment wrapText="1"/>
    </xf>
    <xf numFmtId="164" fontId="3" fillId="5" borderId="7" xfId="0" applyNumberFormat="1" applyFont="1" applyFill="1" applyBorder="1" applyAlignment="1"/>
    <xf numFmtId="165" fontId="3" fillId="5" borderId="7" xfId="0" applyNumberFormat="1" applyFont="1" applyFill="1" applyBorder="1" applyAlignment="1"/>
    <xf numFmtId="165" fontId="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2" fillId="0" borderId="11" xfId="0" applyNumberFormat="1" applyFont="1" applyBorder="1" applyAlignment="1"/>
    <xf numFmtId="164" fontId="3" fillId="0" borderId="5" xfId="0" applyNumberFormat="1" applyFont="1" applyBorder="1" applyAlignment="1"/>
    <xf numFmtId="165" fontId="3" fillId="0" borderId="11" xfId="0" applyNumberFormat="1" applyFont="1" applyBorder="1" applyAlignment="1"/>
    <xf numFmtId="0" fontId="2" fillId="0" borderId="4" xfId="0" applyFont="1" applyBorder="1" applyAlignment="1">
      <alignment vertical="center" wrapText="1"/>
    </xf>
    <xf numFmtId="167" fontId="3" fillId="0" borderId="0" xfId="2" applyFont="1" applyBorder="1" applyAlignment="1" applyProtection="1"/>
    <xf numFmtId="164" fontId="3" fillId="4" borderId="5" xfId="0" applyNumberFormat="1" applyFont="1" applyFill="1" applyBorder="1" applyAlignment="1"/>
    <xf numFmtId="165" fontId="3" fillId="4" borderId="11" xfId="0" applyNumberFormat="1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/>
    <xf numFmtId="165" fontId="3" fillId="4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5" fillId="5" borderId="13" xfId="7" applyFont="1" applyFill="1" applyBorder="1" applyAlignment="1">
      <alignment vertical="center"/>
    </xf>
    <xf numFmtId="0" fontId="6" fillId="5" borderId="2" xfId="7" applyFont="1" applyFill="1" applyBorder="1" applyAlignment="1">
      <alignment horizontal="center" vertical="center" wrapText="1"/>
    </xf>
    <xf numFmtId="4" fontId="6" fillId="5" borderId="2" xfId="7" applyNumberFormat="1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left" vertical="center"/>
    </xf>
    <xf numFmtId="165" fontId="6" fillId="5" borderId="2" xfId="7" applyNumberFormat="1" applyFont="1" applyFill="1" applyBorder="1" applyAlignment="1">
      <alignment horizontal="center" vertical="center"/>
    </xf>
    <xf numFmtId="3" fontId="6" fillId="5" borderId="2" xfId="7" applyNumberFormat="1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5" borderId="0" xfId="7" applyFont="1" applyFill="1" applyBorder="1" applyAlignment="1">
      <alignment horizontal="right" vertical="center"/>
    </xf>
    <xf numFmtId="0" fontId="6" fillId="5" borderId="0" xfId="7" applyFont="1" applyFill="1" applyBorder="1" applyAlignment="1">
      <alignment vertical="center"/>
    </xf>
    <xf numFmtId="165" fontId="5" fillId="5" borderId="14" xfId="7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3" fillId="0" borderId="16" xfId="0" applyNumberFormat="1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3" fillId="0" borderId="13" xfId="0" applyNumberFormat="1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0" fillId="8" borderId="27" xfId="0" applyFill="1" applyBorder="1"/>
    <xf numFmtId="164" fontId="7" fillId="8" borderId="27" xfId="0" applyNumberFormat="1" applyFont="1" applyFill="1" applyBorder="1" applyAlignment="1">
      <alignment horizontal="center"/>
    </xf>
    <xf numFmtId="0" fontId="0" fillId="0" borderId="27" xfId="0" applyBorder="1"/>
    <xf numFmtId="165" fontId="8" fillId="8" borderId="27" xfId="0" applyNumberFormat="1" applyFont="1" applyFill="1" applyBorder="1" applyAlignment="1">
      <alignment horizontal="right"/>
    </xf>
    <xf numFmtId="165" fontId="0" fillId="0" borderId="27" xfId="0" applyNumberFormat="1" applyBorder="1"/>
    <xf numFmtId="165" fontId="0" fillId="0" borderId="27" xfId="0" applyNumberFormat="1" applyBorder="1" applyAlignment="1">
      <alignment horizontal="right"/>
    </xf>
    <xf numFmtId="10" fontId="9" fillId="0" borderId="27" xfId="0" applyNumberFormat="1" applyFont="1" applyBorder="1" applyAlignment="1">
      <alignment horizontal="center" vertical="top" shrinkToFit="1"/>
    </xf>
    <xf numFmtId="165" fontId="10" fillId="0" borderId="27" xfId="0" applyNumberFormat="1" applyFont="1" applyBorder="1" applyAlignment="1">
      <alignment horizontal="right" vertical="top" wrapText="1"/>
    </xf>
    <xf numFmtId="10" fontId="11" fillId="0" borderId="27" xfId="0" applyNumberFormat="1" applyFont="1" applyBorder="1" applyAlignment="1">
      <alignment horizontal="center" vertical="top" shrinkToFit="1"/>
    </xf>
    <xf numFmtId="170" fontId="10" fillId="0" borderId="27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left"/>
    </xf>
    <xf numFmtId="165" fontId="3" fillId="0" borderId="27" xfId="0" applyNumberFormat="1" applyFont="1" applyBorder="1" applyAlignment="1">
      <alignment horizontal="right"/>
    </xf>
    <xf numFmtId="0" fontId="0" fillId="8" borderId="27" xfId="0" applyFill="1" applyBorder="1" applyAlignment="1">
      <alignment horizontal="left" wrapText="1"/>
    </xf>
    <xf numFmtId="165" fontId="10" fillId="8" borderId="27" xfId="0" applyNumberFormat="1" applyFont="1" applyFill="1" applyBorder="1" applyAlignment="1">
      <alignment horizontal="right" vertical="top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/>
    <xf numFmtId="0" fontId="0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164" fontId="7" fillId="0" borderId="27" xfId="0" applyNumberFormat="1" applyFont="1" applyBorder="1" applyAlignment="1"/>
    <xf numFmtId="0" fontId="0" fillId="0" borderId="27" xfId="0" applyFont="1" applyBorder="1" applyAlignment="1">
      <alignment wrapText="1"/>
    </xf>
    <xf numFmtId="165" fontId="0" fillId="0" borderId="27" xfId="0" applyNumberFormat="1" applyFont="1" applyBorder="1" applyAlignment="1"/>
    <xf numFmtId="0" fontId="0" fillId="8" borderId="27" xfId="0" applyFont="1" applyFill="1" applyBorder="1" applyAlignment="1">
      <alignment horizontal="center"/>
    </xf>
    <xf numFmtId="0" fontId="0" fillId="8" borderId="27" xfId="0" applyFont="1" applyFill="1" applyBorder="1" applyAlignment="1">
      <alignment wrapText="1"/>
    </xf>
    <xf numFmtId="165" fontId="7" fillId="8" borderId="27" xfId="0" applyNumberFormat="1" applyFont="1" applyFill="1" applyBorder="1" applyAlignment="1"/>
    <xf numFmtId="0" fontId="11" fillId="0" borderId="27" xfId="0" applyFont="1" applyBorder="1"/>
    <xf numFmtId="0" fontId="13" fillId="0" borderId="27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5" fillId="0" borderId="13" xfId="0" applyFont="1" applyBorder="1" applyAlignment="1">
      <alignment vertical="center" wrapText="1"/>
    </xf>
    <xf numFmtId="164" fontId="16" fillId="0" borderId="29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5" fillId="0" borderId="13" xfId="0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horizontal="left" vertical="center" wrapText="1"/>
    </xf>
    <xf numFmtId="4" fontId="14" fillId="0" borderId="3" xfId="0" applyNumberFormat="1" applyFont="1" applyBorder="1"/>
    <xf numFmtId="4" fontId="14" fillId="0" borderId="0" xfId="0" applyNumberFormat="1" applyFont="1"/>
    <xf numFmtId="4" fontId="14" fillId="0" borderId="1" xfId="0" applyNumberFormat="1" applyFont="1" applyBorder="1" applyAlignment="1">
      <alignment horizontal="justify" vertical="top" wrapText="1"/>
    </xf>
    <xf numFmtId="4" fontId="14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5" fillId="9" borderId="2" xfId="0" applyFont="1" applyFill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164" fontId="14" fillId="0" borderId="0" xfId="3" applyNumberFormat="1" applyFont="1" applyBorder="1" applyAlignment="1" applyProtection="1">
      <alignment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0" fontId="14" fillId="0" borderId="0" xfId="3" applyNumberFormat="1" applyFont="1" applyBorder="1" applyAlignment="1" applyProtection="1">
      <alignment wrapText="1"/>
    </xf>
    <xf numFmtId="0" fontId="15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justify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4" fillId="0" borderId="2" xfId="0" applyFont="1" applyBorder="1"/>
    <xf numFmtId="0" fontId="20" fillId="0" borderId="28" xfId="4" applyFont="1" applyBorder="1" applyAlignment="1" applyProtection="1">
      <alignment horizontal="justify" vertical="center" wrapText="1"/>
    </xf>
    <xf numFmtId="0" fontId="17" fillId="0" borderId="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64" fontId="15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64" fontId="16" fillId="0" borderId="28" xfId="0" applyNumberFormat="1" applyFont="1" applyBorder="1" applyAlignment="1">
      <alignment horizontal="center" vertical="center" wrapText="1"/>
    </xf>
    <xf numFmtId="0" fontId="20" fillId="0" borderId="0" xfId="4" applyFont="1" applyBorder="1" applyAlignment="1" applyProtection="1">
      <alignment wrapText="1"/>
    </xf>
    <xf numFmtId="0" fontId="17" fillId="5" borderId="16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171" fontId="20" fillId="0" borderId="0" xfId="4" applyNumberFormat="1" applyFont="1" applyBorder="1" applyAlignment="1" applyProtection="1">
      <alignment wrapText="1"/>
    </xf>
    <xf numFmtId="10" fontId="14" fillId="0" borderId="0" xfId="0" applyNumberFormat="1" applyFont="1" applyAlignment="1">
      <alignment wrapText="1"/>
    </xf>
    <xf numFmtId="172" fontId="14" fillId="0" borderId="0" xfId="3" applyNumberFormat="1" applyFont="1" applyBorder="1" applyAlignment="1" applyProtection="1">
      <alignment wrapText="1"/>
    </xf>
    <xf numFmtId="173" fontId="14" fillId="0" borderId="0" xfId="0" applyNumberFormat="1" applyFont="1" applyAlignment="1">
      <alignment wrapText="1"/>
    </xf>
    <xf numFmtId="0" fontId="17" fillId="0" borderId="6" xfId="0" applyFont="1" applyBorder="1" applyAlignment="1">
      <alignment wrapText="1"/>
    </xf>
    <xf numFmtId="174" fontId="14" fillId="0" borderId="0" xfId="0" applyNumberFormat="1" applyFont="1" applyAlignment="1">
      <alignment wrapText="1"/>
    </xf>
    <xf numFmtId="0" fontId="15" fillId="9" borderId="33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168" fontId="14" fillId="0" borderId="0" xfId="1" applyFont="1" applyBorder="1" applyAlignment="1" applyProtection="1">
      <alignment wrapText="1"/>
    </xf>
    <xf numFmtId="165" fontId="16" fillId="5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16" fillId="5" borderId="31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left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10" borderId="0" xfId="0" applyFont="1" applyFill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4" fontId="16" fillId="5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vertical="center" wrapText="1"/>
    </xf>
    <xf numFmtId="0" fontId="15" fillId="0" borderId="32" xfId="0" applyFont="1" applyBorder="1" applyAlignment="1">
      <alignment horizontal="right" vertical="center" wrapText="1"/>
    </xf>
    <xf numFmtId="0" fontId="15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5" fillId="0" borderId="16" xfId="0" applyFont="1" applyBorder="1" applyAlignment="1">
      <alignment vertical="center" wrapText="1"/>
    </xf>
    <xf numFmtId="0" fontId="14" fillId="0" borderId="35" xfId="0" applyFont="1" applyBorder="1" applyAlignment="1">
      <alignment wrapText="1"/>
    </xf>
    <xf numFmtId="0" fontId="16" fillId="0" borderId="16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165" fontId="14" fillId="0" borderId="0" xfId="0" applyNumberFormat="1" applyFont="1" applyAlignment="1">
      <alignment wrapText="1"/>
    </xf>
    <xf numFmtId="175" fontId="14" fillId="0" borderId="0" xfId="0" applyNumberFormat="1" applyFont="1" applyAlignment="1">
      <alignment wrapText="1"/>
    </xf>
    <xf numFmtId="0" fontId="7" fillId="0" borderId="0" xfId="0" applyFont="1" applyFill="1"/>
    <xf numFmtId="165" fontId="0" fillId="0" borderId="0" xfId="0" applyNumberFormat="1" applyFill="1"/>
    <xf numFmtId="0" fontId="0" fillId="0" borderId="0" xfId="0" applyFont="1" applyFill="1"/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6" fillId="5" borderId="2" xfId="7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27" xfId="0" applyFont="1" applyBorder="1" applyAlignment="1">
      <alignment horizontal="left" indent="13"/>
    </xf>
    <xf numFmtId="0" fontId="0" fillId="0" borderId="0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top" wrapText="1" indent="15"/>
    </xf>
    <xf numFmtId="0" fontId="8" fillId="0" borderId="27" xfId="0" applyFont="1" applyBorder="1" applyAlignment="1">
      <alignment horizontal="left" vertical="top" wrapText="1" indent="15"/>
    </xf>
    <xf numFmtId="0" fontId="3" fillId="8" borderId="27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37" xfId="0" applyFont="1" applyBorder="1" applyAlignment="1">
      <alignment horizontal="left" wrapText="1"/>
    </xf>
    <xf numFmtId="0" fontId="25" fillId="0" borderId="38" xfId="0" applyFont="1" applyBorder="1" applyAlignment="1">
      <alignment horizontal="left" wrapText="1"/>
    </xf>
    <xf numFmtId="0" fontId="15" fillId="9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" fontId="14" fillId="10" borderId="13" xfId="0" applyNumberFormat="1" applyFont="1" applyFill="1" applyBorder="1" applyAlignment="1">
      <alignment horizontal="left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DC3E6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5B9BD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2"/>
  <sheetViews>
    <sheetView tabSelected="1" view="pageBreakPreview" topLeftCell="A46" zoomScale="90" zoomScaleNormal="90" zoomScalePageLayoutView="90" workbookViewId="0">
      <selection activeCell="D56" sqref="D56"/>
    </sheetView>
  </sheetViews>
  <sheetFormatPr defaultColWidth="9.140625" defaultRowHeight="14.25" x14ac:dyDescent="0.2"/>
  <cols>
    <col min="1" max="1" width="4.7109375" style="1" customWidth="1"/>
    <col min="2" max="2" width="65.5703125" style="2" customWidth="1"/>
    <col min="3" max="3" width="18.5703125" style="3" customWidth="1"/>
    <col min="4" max="4" width="21.28515625" style="4" customWidth="1"/>
    <col min="5" max="5" width="13.85546875" style="1" customWidth="1"/>
    <col min="6" max="6" width="18" style="1" customWidth="1"/>
    <col min="7" max="7" width="15.85546875" style="1" customWidth="1"/>
    <col min="8" max="8" width="9.5703125" style="1" customWidth="1"/>
    <col min="9" max="1024" width="9.140625" style="1"/>
  </cols>
  <sheetData>
    <row r="1" spans="1:4" x14ac:dyDescent="0.2">
      <c r="A1" s="5"/>
      <c r="C1" s="6"/>
      <c r="D1" s="7"/>
    </row>
    <row r="2" spans="1:4" ht="15" x14ac:dyDescent="0.25">
      <c r="A2" s="284" t="s">
        <v>0</v>
      </c>
      <c r="B2" s="284"/>
      <c r="C2" s="285" t="s">
        <v>1</v>
      </c>
      <c r="D2" s="285"/>
    </row>
    <row r="3" spans="1:4" x14ac:dyDescent="0.2">
      <c r="A3" s="8"/>
      <c r="B3" s="9"/>
      <c r="C3" s="10"/>
      <c r="D3" s="11"/>
    </row>
    <row r="4" spans="1:4" ht="15" x14ac:dyDescent="0.25">
      <c r="A4" s="286" t="s">
        <v>2</v>
      </c>
      <c r="B4" s="286"/>
      <c r="C4" s="286"/>
      <c r="D4" s="286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2" t="s">
        <v>5</v>
      </c>
      <c r="B6" s="13" t="s">
        <v>6</v>
      </c>
      <c r="C6" s="14"/>
      <c r="D6" s="16" t="s">
        <v>7</v>
      </c>
    </row>
    <row r="7" spans="1:4" ht="15" x14ac:dyDescent="0.25">
      <c r="A7" s="12" t="s">
        <v>8</v>
      </c>
      <c r="B7" s="13" t="s">
        <v>9</v>
      </c>
      <c r="C7" s="14"/>
      <c r="D7" s="17" t="s">
        <v>10</v>
      </c>
    </row>
    <row r="8" spans="1:4" x14ac:dyDescent="0.2">
      <c r="A8" s="12" t="s">
        <v>11</v>
      </c>
      <c r="B8" s="13" t="s">
        <v>12</v>
      </c>
      <c r="C8" s="14"/>
      <c r="D8" s="18">
        <v>30</v>
      </c>
    </row>
    <row r="9" spans="1:4" x14ac:dyDescent="0.2">
      <c r="A9" s="19"/>
      <c r="B9" s="20"/>
      <c r="C9" s="21"/>
      <c r="D9" s="22"/>
    </row>
    <row r="10" spans="1:4" ht="15" x14ac:dyDescent="0.25">
      <c r="A10" s="286" t="s">
        <v>13</v>
      </c>
      <c r="B10" s="286"/>
      <c r="C10" s="286"/>
      <c r="D10" s="286"/>
    </row>
    <row r="11" spans="1:4" x14ac:dyDescent="0.2">
      <c r="A11" s="23"/>
      <c r="B11" s="23" t="s">
        <v>14</v>
      </c>
      <c r="C11" s="14"/>
      <c r="D11" s="16" t="s">
        <v>15</v>
      </c>
    </row>
    <row r="12" spans="1:4" x14ac:dyDescent="0.2">
      <c r="A12" s="24"/>
      <c r="B12" s="24" t="s">
        <v>16</v>
      </c>
      <c r="C12" s="25"/>
      <c r="D12" s="16" t="s">
        <v>17</v>
      </c>
    </row>
    <row r="13" spans="1:4" x14ac:dyDescent="0.2">
      <c r="A13" s="24"/>
      <c r="B13" s="24" t="s">
        <v>18</v>
      </c>
      <c r="C13" s="25"/>
      <c r="D13" s="26">
        <v>15</v>
      </c>
    </row>
    <row r="14" spans="1:4" x14ac:dyDescent="0.2">
      <c r="A14" s="27"/>
      <c r="B14" s="28"/>
      <c r="C14" s="29"/>
      <c r="D14" s="30"/>
    </row>
    <row r="15" spans="1:4" x14ac:dyDescent="0.2">
      <c r="A15" s="19"/>
      <c r="B15" s="20"/>
      <c r="C15" s="21"/>
      <c r="D15" s="22"/>
    </row>
    <row r="16" spans="1:4" ht="15" x14ac:dyDescent="0.25">
      <c r="A16" s="286" t="s">
        <v>19</v>
      </c>
      <c r="B16" s="286"/>
      <c r="C16" s="286"/>
      <c r="D16" s="286"/>
    </row>
    <row r="17" spans="1:4" x14ac:dyDescent="0.2">
      <c r="A17" s="12">
        <v>1</v>
      </c>
      <c r="B17" s="13" t="s">
        <v>20</v>
      </c>
      <c r="C17" s="14"/>
      <c r="D17" s="16" t="str">
        <f>D11</f>
        <v xml:space="preserve">Apoio Administrativo </v>
      </c>
    </row>
    <row r="18" spans="1:4" x14ac:dyDescent="0.2">
      <c r="A18" s="12">
        <v>2</v>
      </c>
      <c r="B18" s="13" t="s">
        <v>21</v>
      </c>
      <c r="C18" s="14"/>
      <c r="D18" s="26">
        <v>7823</v>
      </c>
    </row>
    <row r="19" spans="1:4" x14ac:dyDescent="0.2">
      <c r="A19" s="12">
        <v>3</v>
      </c>
      <c r="B19" s="13" t="s">
        <v>22</v>
      </c>
      <c r="C19" s="14"/>
      <c r="D19" s="16">
        <f>'Memoria de Cálculo'!C4</f>
        <v>1635.24</v>
      </c>
    </row>
    <row r="20" spans="1:4" x14ac:dyDescent="0.2">
      <c r="A20" s="12">
        <v>4</v>
      </c>
      <c r="B20" s="13" t="s">
        <v>23</v>
      </c>
      <c r="C20" s="14"/>
      <c r="D20" s="16" t="s">
        <v>1</v>
      </c>
    </row>
    <row r="21" spans="1:4" x14ac:dyDescent="0.2">
      <c r="A21" s="12">
        <v>5</v>
      </c>
      <c r="B21" s="13" t="s">
        <v>24</v>
      </c>
      <c r="C21" s="14"/>
      <c r="D21" s="15">
        <v>44562</v>
      </c>
    </row>
    <row r="22" spans="1:4" x14ac:dyDescent="0.2">
      <c r="A22" s="31"/>
      <c r="B22" s="32"/>
      <c r="C22" s="14"/>
      <c r="D22" s="33"/>
    </row>
    <row r="23" spans="1:4" ht="15" x14ac:dyDescent="0.25">
      <c r="A23" s="286" t="s">
        <v>25</v>
      </c>
      <c r="B23" s="286"/>
      <c r="C23" s="286"/>
      <c r="D23" s="286"/>
    </row>
    <row r="24" spans="1:4" ht="15" x14ac:dyDescent="0.25">
      <c r="A24" s="17">
        <v>1</v>
      </c>
      <c r="B24" s="34" t="s">
        <v>26</v>
      </c>
      <c r="C24" s="35" t="s">
        <v>27</v>
      </c>
      <c r="D24" s="36" t="s">
        <v>28</v>
      </c>
    </row>
    <row r="25" spans="1:4" ht="15" x14ac:dyDescent="0.25">
      <c r="A25" s="17" t="s">
        <v>3</v>
      </c>
      <c r="B25" s="37" t="s">
        <v>29</v>
      </c>
      <c r="C25" s="38"/>
      <c r="D25" s="39">
        <f>D19</f>
        <v>1635.24</v>
      </c>
    </row>
    <row r="26" spans="1:4" ht="15" x14ac:dyDescent="0.25">
      <c r="A26" s="17" t="s">
        <v>5</v>
      </c>
      <c r="B26" s="37" t="s">
        <v>30</v>
      </c>
      <c r="C26" s="38"/>
      <c r="D26" s="39"/>
    </row>
    <row r="27" spans="1:4" ht="15" x14ac:dyDescent="0.25">
      <c r="A27" s="17" t="s">
        <v>8</v>
      </c>
      <c r="B27" s="37" t="s">
        <v>31</v>
      </c>
      <c r="C27" s="38"/>
      <c r="D27" s="39"/>
    </row>
    <row r="28" spans="1:4" ht="15" x14ac:dyDescent="0.25">
      <c r="A28" s="17" t="s">
        <v>11</v>
      </c>
      <c r="B28" s="37" t="s">
        <v>32</v>
      </c>
      <c r="C28" s="38"/>
      <c r="D28" s="39"/>
    </row>
    <row r="29" spans="1:4" ht="15" x14ac:dyDescent="0.25">
      <c r="A29" s="17" t="s">
        <v>33</v>
      </c>
      <c r="B29" s="37" t="s">
        <v>34</v>
      </c>
      <c r="C29" s="38"/>
      <c r="D29" s="39"/>
    </row>
    <row r="30" spans="1:4" ht="15" x14ac:dyDescent="0.25">
      <c r="A30" s="17" t="s">
        <v>35</v>
      </c>
      <c r="B30" s="37" t="s">
        <v>36</v>
      </c>
      <c r="C30" s="38"/>
      <c r="D30" s="39"/>
    </row>
    <row r="31" spans="1:4" ht="15" x14ac:dyDescent="0.25">
      <c r="A31" s="17" t="s">
        <v>37</v>
      </c>
      <c r="B31" s="37" t="s">
        <v>38</v>
      </c>
      <c r="C31" s="38"/>
      <c r="D31" s="39"/>
    </row>
    <row r="32" spans="1:4" ht="15" x14ac:dyDescent="0.25">
      <c r="A32" s="287" t="s">
        <v>39</v>
      </c>
      <c r="B32" s="287"/>
      <c r="C32" s="40"/>
      <c r="D32" s="41">
        <f>SUM(D25:D31)</f>
        <v>1635.24</v>
      </c>
    </row>
    <row r="33" spans="1:7" ht="15" x14ac:dyDescent="0.25">
      <c r="A33" s="42"/>
      <c r="B33" s="43"/>
      <c r="C33" s="44"/>
      <c r="D33" s="45"/>
      <c r="E33" s="46"/>
    </row>
    <row r="34" spans="1:7" ht="15" x14ac:dyDescent="0.25">
      <c r="A34" s="286" t="s">
        <v>40</v>
      </c>
      <c r="B34" s="286"/>
      <c r="C34" s="286"/>
      <c r="D34" s="286"/>
      <c r="E34" s="46"/>
      <c r="F34" s="4"/>
    </row>
    <row r="35" spans="1:7" ht="15" x14ac:dyDescent="0.25">
      <c r="A35" s="288" t="s">
        <v>41</v>
      </c>
      <c r="B35" s="288"/>
      <c r="C35" s="35" t="s">
        <v>27</v>
      </c>
      <c r="D35" s="36" t="s">
        <v>28</v>
      </c>
      <c r="E35" s="46"/>
    </row>
    <row r="36" spans="1:7" ht="15" x14ac:dyDescent="0.25">
      <c r="A36" s="47" t="s">
        <v>3</v>
      </c>
      <c r="B36" s="37" t="s">
        <v>42</v>
      </c>
      <c r="C36" s="38">
        <f>'Memoria de Cálculo'!C10</f>
        <v>8.3333333333333329E-2</v>
      </c>
      <c r="D36" s="39">
        <f>C36*$D$32</f>
        <v>136.26999999999998</v>
      </c>
      <c r="E36" s="48"/>
      <c r="F36" s="4"/>
    </row>
    <row r="37" spans="1:7" ht="15" x14ac:dyDescent="0.25">
      <c r="A37" s="47" t="s">
        <v>5</v>
      </c>
      <c r="B37" s="37" t="s">
        <v>43</v>
      </c>
      <c r="C37" s="38">
        <f>'Memoria de Cálculo'!C11</f>
        <v>2.7777777777777776E-2</v>
      </c>
      <c r="D37" s="39">
        <f>C37*$D$32</f>
        <v>45.423333333333332</v>
      </c>
      <c r="E37" s="46"/>
      <c r="F37" s="4"/>
    </row>
    <row r="38" spans="1:7" ht="15" x14ac:dyDescent="0.25">
      <c r="A38" s="49"/>
      <c r="B38" s="50" t="s">
        <v>44</v>
      </c>
      <c r="C38" s="51">
        <f>C37+C36</f>
        <v>0.1111111111111111</v>
      </c>
      <c r="D38" s="39">
        <f>D37+D36</f>
        <v>181.69333333333333</v>
      </c>
      <c r="E38" s="46"/>
    </row>
    <row r="39" spans="1:7" ht="15" x14ac:dyDescent="0.25">
      <c r="A39" s="47" t="s">
        <v>8</v>
      </c>
      <c r="B39" s="52" t="s">
        <v>45</v>
      </c>
      <c r="C39" s="51">
        <f>C38*C51</f>
        <v>4.4222222222222225E-2</v>
      </c>
      <c r="D39" s="39">
        <f>D38*C51</f>
        <v>72.313946666666681</v>
      </c>
      <c r="E39" s="53"/>
    </row>
    <row r="40" spans="1:7" ht="15" x14ac:dyDescent="0.25">
      <c r="A40" s="287" t="s">
        <v>46</v>
      </c>
      <c r="B40" s="287"/>
      <c r="C40" s="40">
        <f>C39+C38</f>
        <v>0.15533333333333332</v>
      </c>
      <c r="D40" s="54">
        <f>D39+D38</f>
        <v>254.00728000000001</v>
      </c>
      <c r="E40" s="46"/>
    </row>
    <row r="41" spans="1:7" ht="15" x14ac:dyDescent="0.25">
      <c r="A41" s="55"/>
      <c r="B41" s="52"/>
      <c r="C41" s="56"/>
      <c r="D41" s="57"/>
      <c r="E41" s="46"/>
    </row>
    <row r="42" spans="1:7" ht="15" x14ac:dyDescent="0.25">
      <c r="A42" s="288" t="s">
        <v>47</v>
      </c>
      <c r="B42" s="288"/>
      <c r="C42" s="35" t="s">
        <v>27</v>
      </c>
      <c r="D42" s="36" t="s">
        <v>28</v>
      </c>
      <c r="E42" s="46"/>
      <c r="F42" s="58"/>
      <c r="G42" s="59"/>
    </row>
    <row r="43" spans="1:7" ht="15" x14ac:dyDescent="0.25">
      <c r="A43" s="47" t="s">
        <v>3</v>
      </c>
      <c r="B43" s="37" t="s">
        <v>48</v>
      </c>
      <c r="C43" s="38">
        <f>'Memoria de Cálculo'!C17</f>
        <v>0.2</v>
      </c>
      <c r="D43" s="39">
        <f t="shared" ref="D43:D50" si="0">C43*$D$32</f>
        <v>327.048</v>
      </c>
      <c r="E43" s="46"/>
      <c r="F43" s="60"/>
      <c r="G43" s="59"/>
    </row>
    <row r="44" spans="1:7" ht="15" x14ac:dyDescent="0.25">
      <c r="A44" s="47" t="s">
        <v>5</v>
      </c>
      <c r="B44" s="37" t="s">
        <v>49</v>
      </c>
      <c r="C44" s="38">
        <f>'Memoria de Cálculo'!C18</f>
        <v>2.5000000000000001E-2</v>
      </c>
      <c r="D44" s="39">
        <f t="shared" si="0"/>
        <v>40.881</v>
      </c>
      <c r="E44" s="46"/>
      <c r="F44" s="58"/>
    </row>
    <row r="45" spans="1:7" ht="15" x14ac:dyDescent="0.25">
      <c r="A45" s="47" t="s">
        <v>8</v>
      </c>
      <c r="B45" s="37" t="s">
        <v>50</v>
      </c>
      <c r="C45" s="38">
        <f>'Memoria de Cálculo'!C19</f>
        <v>0.06</v>
      </c>
      <c r="D45" s="39">
        <f t="shared" si="0"/>
        <v>98.114400000000003</v>
      </c>
      <c r="E45" s="61"/>
      <c r="F45" s="62"/>
    </row>
    <row r="46" spans="1:7" ht="15" x14ac:dyDescent="0.25">
      <c r="A46" s="47" t="s">
        <v>11</v>
      </c>
      <c r="B46" s="37" t="s">
        <v>51</v>
      </c>
      <c r="C46" s="38">
        <f>'Memoria de Cálculo'!C20</f>
        <v>1.4999999999999999E-2</v>
      </c>
      <c r="D46" s="39">
        <f t="shared" si="0"/>
        <v>24.528600000000001</v>
      </c>
      <c r="E46" s="46"/>
    </row>
    <row r="47" spans="1:7" ht="15" x14ac:dyDescent="0.25">
      <c r="A47" s="47" t="s">
        <v>33</v>
      </c>
      <c r="B47" s="37" t="s">
        <v>52</v>
      </c>
      <c r="C47" s="38">
        <f>'Memoria de Cálculo'!C21</f>
        <v>0.01</v>
      </c>
      <c r="D47" s="39">
        <f t="shared" si="0"/>
        <v>16.352399999999999</v>
      </c>
      <c r="E47" s="46"/>
    </row>
    <row r="48" spans="1:7" ht="15" x14ac:dyDescent="0.25">
      <c r="A48" s="47" t="s">
        <v>35</v>
      </c>
      <c r="B48" s="37" t="s">
        <v>53</v>
      </c>
      <c r="C48" s="38">
        <f>'Memoria de Cálculo'!C22</f>
        <v>6.0000000000000001E-3</v>
      </c>
      <c r="D48" s="39">
        <f t="shared" si="0"/>
        <v>9.811440000000001</v>
      </c>
      <c r="E48" s="46"/>
    </row>
    <row r="49" spans="1:6" ht="15" x14ac:dyDescent="0.25">
      <c r="A49" s="47" t="s">
        <v>37</v>
      </c>
      <c r="B49" s="37" t="s">
        <v>54</v>
      </c>
      <c r="C49" s="38">
        <f>'Memoria de Cálculo'!C23</f>
        <v>2E-3</v>
      </c>
      <c r="D49" s="39">
        <f t="shared" si="0"/>
        <v>3.2704800000000001</v>
      </c>
      <c r="E49" s="46"/>
    </row>
    <row r="50" spans="1:6" ht="15" x14ac:dyDescent="0.25">
      <c r="A50" s="47" t="s">
        <v>55</v>
      </c>
      <c r="B50" s="37" t="s">
        <v>56</v>
      </c>
      <c r="C50" s="38">
        <f>'Memoria de Cálculo'!C24</f>
        <v>0.08</v>
      </c>
      <c r="D50" s="39">
        <f t="shared" si="0"/>
        <v>130.8192</v>
      </c>
      <c r="E50" s="46"/>
    </row>
    <row r="51" spans="1:6" ht="15" x14ac:dyDescent="0.25">
      <c r="A51" s="287" t="s">
        <v>57</v>
      </c>
      <c r="B51" s="287"/>
      <c r="C51" s="63">
        <f>SUM(C43:C50)</f>
        <v>0.39800000000000008</v>
      </c>
      <c r="D51" s="64">
        <f>SUM(D43:D50)</f>
        <v>650.82551999999998</v>
      </c>
      <c r="E51" s="48"/>
      <c r="F51" s="65"/>
    </row>
    <row r="52" spans="1:6" ht="15" x14ac:dyDescent="0.25">
      <c r="A52" s="66"/>
      <c r="B52" s="52"/>
      <c r="C52" s="56"/>
      <c r="D52" s="57"/>
      <c r="E52" s="46"/>
    </row>
    <row r="53" spans="1:6" ht="15" x14ac:dyDescent="0.25">
      <c r="A53" s="288" t="s">
        <v>58</v>
      </c>
      <c r="B53" s="288"/>
      <c r="C53" s="51"/>
      <c r="D53" s="36" t="s">
        <v>28</v>
      </c>
      <c r="E53" s="46"/>
    </row>
    <row r="54" spans="1:6" ht="15" x14ac:dyDescent="0.25">
      <c r="A54" s="47" t="s">
        <v>3</v>
      </c>
      <c r="B54" s="37" t="s">
        <v>59</v>
      </c>
      <c r="C54" s="38"/>
      <c r="D54" s="39">
        <f>(4*2*22)-(0.06*D19)</f>
        <v>77.885599999999997</v>
      </c>
      <c r="E54" s="46"/>
    </row>
    <row r="55" spans="1:6" ht="15" x14ac:dyDescent="0.25">
      <c r="A55" s="47" t="s">
        <v>5</v>
      </c>
      <c r="B55" s="37" t="s">
        <v>60</v>
      </c>
      <c r="C55" s="38"/>
      <c r="D55" s="39">
        <f>'Memoria de Cálculo'!C32</f>
        <v>383.59</v>
      </c>
      <c r="E55" s="46"/>
    </row>
    <row r="56" spans="1:6" ht="43.5" x14ac:dyDescent="0.25">
      <c r="A56" s="47" t="s">
        <v>8</v>
      </c>
      <c r="B56" s="67" t="s">
        <v>61</v>
      </c>
      <c r="C56" s="38"/>
      <c r="D56" s="68">
        <f>'Memoria de Cálculo'!C33</f>
        <v>61.68</v>
      </c>
      <c r="E56" s="46"/>
    </row>
    <row r="57" spans="1:6" ht="15" x14ac:dyDescent="0.25">
      <c r="A57" s="47" t="s">
        <v>11</v>
      </c>
      <c r="B57" s="37" t="s">
        <v>62</v>
      </c>
      <c r="C57" s="38"/>
      <c r="D57" s="39">
        <f>'Memoria de Cálculo'!C34</f>
        <v>0</v>
      </c>
      <c r="E57" s="46"/>
    </row>
    <row r="58" spans="1:6" ht="15" x14ac:dyDescent="0.25">
      <c r="A58" s="47" t="s">
        <v>33</v>
      </c>
      <c r="B58" s="37" t="s">
        <v>63</v>
      </c>
      <c r="C58" s="38"/>
      <c r="D58" s="68">
        <f>'Memoria de Cálculo'!I35</f>
        <v>15.15</v>
      </c>
      <c r="E58" s="53"/>
    </row>
    <row r="59" spans="1:6" ht="15" x14ac:dyDescent="0.25">
      <c r="A59" s="47" t="s">
        <v>35</v>
      </c>
      <c r="B59" s="37" t="s">
        <v>38</v>
      </c>
      <c r="C59" s="38"/>
      <c r="D59" s="39">
        <f>'Memoria de Cálculo'!C36</f>
        <v>0</v>
      </c>
      <c r="E59" s="46"/>
    </row>
    <row r="60" spans="1:6" ht="15" x14ac:dyDescent="0.25">
      <c r="A60" s="287" t="s">
        <v>64</v>
      </c>
      <c r="B60" s="287"/>
      <c r="C60" s="40"/>
      <c r="D60" s="64">
        <f>SUM(D54:D59)</f>
        <v>538.30559999999991</v>
      </c>
      <c r="E60" s="46"/>
    </row>
    <row r="61" spans="1:6" ht="15" x14ac:dyDescent="0.25">
      <c r="A61" s="66"/>
      <c r="B61" s="52"/>
      <c r="C61" s="56"/>
      <c r="D61" s="57"/>
      <c r="E61" s="46"/>
    </row>
    <row r="62" spans="1:6" ht="15" x14ac:dyDescent="0.25">
      <c r="A62" s="286" t="s">
        <v>65</v>
      </c>
      <c r="B62" s="286"/>
      <c r="C62" s="286"/>
      <c r="D62" s="286"/>
      <c r="E62" s="46"/>
    </row>
    <row r="63" spans="1:6" ht="15" x14ac:dyDescent="0.25">
      <c r="A63" s="49" t="s">
        <v>66</v>
      </c>
      <c r="B63" s="69"/>
      <c r="C63" s="35"/>
      <c r="D63" s="36" t="s">
        <v>28</v>
      </c>
      <c r="E63" s="46"/>
    </row>
    <row r="64" spans="1:6" ht="15" x14ac:dyDescent="0.25">
      <c r="A64" s="47" t="s">
        <v>67</v>
      </c>
      <c r="B64" s="37" t="s">
        <v>68</v>
      </c>
      <c r="C64" s="38"/>
      <c r="D64" s="70">
        <f>D40</f>
        <v>254.00728000000001</v>
      </c>
      <c r="E64" s="46"/>
    </row>
    <row r="65" spans="1:5" ht="15" x14ac:dyDescent="0.25">
      <c r="A65" s="47" t="s">
        <v>69</v>
      </c>
      <c r="B65" s="37" t="s">
        <v>70</v>
      </c>
      <c r="C65" s="38"/>
      <c r="D65" s="70">
        <f>D51</f>
        <v>650.82551999999998</v>
      </c>
      <c r="E65" s="46"/>
    </row>
    <row r="66" spans="1:5" ht="15" x14ac:dyDescent="0.25">
      <c r="A66" s="47" t="s">
        <v>71</v>
      </c>
      <c r="B66" s="37" t="s">
        <v>72</v>
      </c>
      <c r="C66" s="38"/>
      <c r="D66" s="70">
        <f>D60</f>
        <v>538.30559999999991</v>
      </c>
      <c r="E66" s="46"/>
    </row>
    <row r="67" spans="1:5" ht="15" x14ac:dyDescent="0.25">
      <c r="A67" s="287" t="s">
        <v>73</v>
      </c>
      <c r="B67" s="287"/>
      <c r="C67" s="40"/>
      <c r="D67" s="64">
        <f>SUM(D64:D66)</f>
        <v>1443.1383999999998</v>
      </c>
      <c r="E67" s="46"/>
    </row>
    <row r="68" spans="1:5" ht="15" x14ac:dyDescent="0.25">
      <c r="A68" s="71"/>
      <c r="B68" s="52"/>
      <c r="C68" s="56"/>
      <c r="D68" s="57"/>
      <c r="E68" s="46"/>
    </row>
    <row r="69" spans="1:5" ht="15" x14ac:dyDescent="0.25">
      <c r="A69" s="286" t="s">
        <v>74</v>
      </c>
      <c r="B69" s="286"/>
      <c r="C69" s="286"/>
      <c r="D69" s="286"/>
      <c r="E69" s="46"/>
    </row>
    <row r="70" spans="1:5" ht="15" x14ac:dyDescent="0.25">
      <c r="A70" s="288" t="s">
        <v>75</v>
      </c>
      <c r="B70" s="288"/>
      <c r="C70" s="35" t="s">
        <v>27</v>
      </c>
      <c r="D70" s="36" t="s">
        <v>28</v>
      </c>
      <c r="E70" s="46"/>
    </row>
    <row r="71" spans="1:5" ht="15" x14ac:dyDescent="0.25">
      <c r="A71" s="47" t="s">
        <v>3</v>
      </c>
      <c r="B71" s="37" t="s">
        <v>76</v>
      </c>
      <c r="C71" s="72">
        <f>'Memoria de Cálculo'!C41</f>
        <v>8.3333333333333332E-3</v>
      </c>
      <c r="D71" s="39">
        <f>C71*$D$32</f>
        <v>13.627000000000001</v>
      </c>
      <c r="E71" s="46"/>
    </row>
    <row r="72" spans="1:5" ht="15" x14ac:dyDescent="0.25">
      <c r="A72" s="47" t="s">
        <v>5</v>
      </c>
      <c r="B72" s="37" t="s">
        <v>77</v>
      </c>
      <c r="C72" s="72">
        <f>'Memoria de Cálculo'!C42</f>
        <v>6.6666666666666664E-4</v>
      </c>
      <c r="D72" s="39">
        <f>C72*$D$32</f>
        <v>1.09016</v>
      </c>
      <c r="E72" s="46"/>
    </row>
    <row r="73" spans="1:5" ht="29.25" x14ac:dyDescent="0.25">
      <c r="A73" s="47" t="s">
        <v>8</v>
      </c>
      <c r="B73" s="37" t="s">
        <v>78</v>
      </c>
      <c r="C73" s="72">
        <f>'Memoria de Cálculo'!C43</f>
        <v>5.1111111111111097E-3</v>
      </c>
      <c r="D73" s="39">
        <f>C73*$D$32</f>
        <v>8.3578933333333314</v>
      </c>
      <c r="E73" s="46"/>
    </row>
    <row r="74" spans="1:5" ht="15" x14ac:dyDescent="0.25">
      <c r="A74" s="287" t="s">
        <v>79</v>
      </c>
      <c r="B74" s="287"/>
      <c r="C74" s="73">
        <f>SUM(C71:C73)</f>
        <v>1.4111111111111109E-2</v>
      </c>
      <c r="D74" s="64">
        <f>SUM(D71:D73)</f>
        <v>23.075053333333329</v>
      </c>
      <c r="E74" s="46"/>
    </row>
    <row r="75" spans="1:5" ht="15" x14ac:dyDescent="0.25">
      <c r="A75" s="74"/>
      <c r="B75" s="32"/>
      <c r="C75" s="75"/>
      <c r="D75" s="33"/>
      <c r="E75" s="46"/>
    </row>
    <row r="76" spans="1:5" ht="15" x14ac:dyDescent="0.25">
      <c r="A76" s="288" t="s">
        <v>80</v>
      </c>
      <c r="B76" s="288"/>
      <c r="C76" s="35" t="s">
        <v>27</v>
      </c>
      <c r="D76" s="36" t="s">
        <v>28</v>
      </c>
      <c r="E76" s="46"/>
    </row>
    <row r="77" spans="1:5" ht="15" x14ac:dyDescent="0.25">
      <c r="A77" s="47" t="s">
        <v>3</v>
      </c>
      <c r="B77" s="37" t="s">
        <v>81</v>
      </c>
      <c r="C77" s="72">
        <f>'Memoria de Cálculo'!C51</f>
        <v>1.9444444444444445E-2</v>
      </c>
      <c r="D77" s="39">
        <f>C77*$D$32</f>
        <v>31.796333333333333</v>
      </c>
      <c r="E77" s="46"/>
    </row>
    <row r="78" spans="1:5" ht="29.25" x14ac:dyDescent="0.25">
      <c r="A78" s="47" t="s">
        <v>5</v>
      </c>
      <c r="B78" s="37" t="s">
        <v>82</v>
      </c>
      <c r="C78" s="72">
        <f>'Memoria de Cálculo'!C52</f>
        <v>7.7388888888888898E-3</v>
      </c>
      <c r="D78" s="39">
        <f>C78*$D$32</f>
        <v>12.654940666666668</v>
      </c>
      <c r="E78" s="46"/>
    </row>
    <row r="79" spans="1:5" ht="29.25" x14ac:dyDescent="0.25">
      <c r="A79" s="47" t="s">
        <v>8</v>
      </c>
      <c r="B79" s="37" t="s">
        <v>83</v>
      </c>
      <c r="C79" s="72">
        <f>'Memoria de Cálculo'!C53</f>
        <v>4.3000000000000003E-2</v>
      </c>
      <c r="D79" s="39">
        <f>C79*$D$32</f>
        <v>70.31532</v>
      </c>
      <c r="E79" s="46"/>
    </row>
    <row r="80" spans="1:5" ht="15" x14ac:dyDescent="0.25">
      <c r="A80" s="287" t="s">
        <v>84</v>
      </c>
      <c r="B80" s="287"/>
      <c r="C80" s="73">
        <f>SUM(C77:C79)</f>
        <v>7.0183333333333334E-2</v>
      </c>
      <c r="D80" s="64">
        <f>SUM(D77:D79)</f>
        <v>114.766594</v>
      </c>
      <c r="E80" s="46"/>
    </row>
    <row r="81" spans="1:5" ht="15" x14ac:dyDescent="0.25">
      <c r="A81" s="49"/>
      <c r="B81" s="76"/>
      <c r="C81" s="77"/>
      <c r="D81" s="78"/>
      <c r="E81" s="46"/>
    </row>
    <row r="82" spans="1:5" ht="15" x14ac:dyDescent="0.25">
      <c r="A82" s="286" t="s">
        <v>85</v>
      </c>
      <c r="B82" s="286"/>
      <c r="C82" s="286"/>
      <c r="D82" s="286"/>
      <c r="E82" s="46"/>
    </row>
    <row r="83" spans="1:5" ht="15" x14ac:dyDescent="0.25">
      <c r="A83" s="288" t="s">
        <v>86</v>
      </c>
      <c r="B83" s="288"/>
      <c r="C83" s="51"/>
      <c r="D83" s="36" t="s">
        <v>28</v>
      </c>
      <c r="E83" s="46"/>
    </row>
    <row r="84" spans="1:5" ht="15" x14ac:dyDescent="0.25">
      <c r="A84" s="47" t="s">
        <v>87</v>
      </c>
      <c r="B84" s="37" t="s">
        <v>88</v>
      </c>
      <c r="C84" s="38"/>
      <c r="D84" s="70">
        <f>D74</f>
        <v>23.075053333333329</v>
      </c>
      <c r="E84" s="46"/>
    </row>
    <row r="85" spans="1:5" ht="15" x14ac:dyDescent="0.25">
      <c r="A85" s="47" t="s">
        <v>89</v>
      </c>
      <c r="B85" s="37" t="s">
        <v>90</v>
      </c>
      <c r="C85" s="38"/>
      <c r="D85" s="70">
        <f>D80</f>
        <v>114.766594</v>
      </c>
      <c r="E85" s="46"/>
    </row>
    <row r="86" spans="1:5" ht="15" x14ac:dyDescent="0.25">
      <c r="A86" s="288" t="s">
        <v>91</v>
      </c>
      <c r="B86" s="288"/>
      <c r="C86" s="51"/>
      <c r="D86" s="79">
        <f>SUM(D84:D85)</f>
        <v>137.84164733333333</v>
      </c>
      <c r="E86" s="46"/>
    </row>
    <row r="87" spans="1:5" ht="15" x14ac:dyDescent="0.25">
      <c r="A87" s="49"/>
      <c r="B87" s="76"/>
      <c r="C87" s="77"/>
      <c r="D87" s="78"/>
      <c r="E87" s="46"/>
    </row>
    <row r="88" spans="1:5" ht="15" x14ac:dyDescent="0.25">
      <c r="A88" s="286" t="s">
        <v>92</v>
      </c>
      <c r="B88" s="286"/>
      <c r="C88" s="286"/>
      <c r="D88" s="286"/>
      <c r="E88" s="46"/>
    </row>
    <row r="89" spans="1:5" ht="15" x14ac:dyDescent="0.25">
      <c r="A89" s="288" t="s">
        <v>93</v>
      </c>
      <c r="B89" s="288"/>
      <c r="C89" s="35" t="s">
        <v>27</v>
      </c>
      <c r="D89" s="36" t="s">
        <v>28</v>
      </c>
      <c r="E89" s="46"/>
    </row>
    <row r="90" spans="1:5" ht="15" x14ac:dyDescent="0.25">
      <c r="A90" s="17" t="s">
        <v>3</v>
      </c>
      <c r="B90" s="13" t="s">
        <v>94</v>
      </c>
      <c r="C90" s="72">
        <f>'Memoria de Cálculo'!C64</f>
        <v>8.3333333333333329E-2</v>
      </c>
      <c r="D90" s="39">
        <f t="shared" ref="D90:D97" si="1">C90*$D$32</f>
        <v>136.26999999999998</v>
      </c>
      <c r="E90" s="46"/>
    </row>
    <row r="91" spans="1:5" ht="15" x14ac:dyDescent="0.25">
      <c r="A91" s="17" t="s">
        <v>5</v>
      </c>
      <c r="B91" s="13" t="s">
        <v>95</v>
      </c>
      <c r="C91" s="72">
        <f>'Memoria de Cálculo'!C65</f>
        <v>3.3166666666666664E-2</v>
      </c>
      <c r="D91" s="39">
        <f t="shared" si="1"/>
        <v>54.235459999999996</v>
      </c>
      <c r="E91" s="46"/>
    </row>
    <row r="92" spans="1:5" ht="15" x14ac:dyDescent="0.25">
      <c r="A92" s="17" t="s">
        <v>8</v>
      </c>
      <c r="B92" s="13" t="s">
        <v>96</v>
      </c>
      <c r="C92" s="72">
        <f>'Memoria de Cálculo'!C66</f>
        <v>2.7777777777777779E-3</v>
      </c>
      <c r="D92" s="39">
        <f t="shared" si="1"/>
        <v>4.5423333333333336</v>
      </c>
      <c r="E92" s="46"/>
    </row>
    <row r="93" spans="1:5" ht="15" x14ac:dyDescent="0.25">
      <c r="A93" s="17" t="s">
        <v>11</v>
      </c>
      <c r="B93" s="13" t="s">
        <v>97</v>
      </c>
      <c r="C93" s="72">
        <f>'Memoria de Cálculo'!C67</f>
        <v>1.0553196347031963E-3</v>
      </c>
      <c r="D93" s="39">
        <f t="shared" si="1"/>
        <v>1.7257008794520547</v>
      </c>
      <c r="E93" s="46"/>
    </row>
    <row r="94" spans="1:5" ht="15" x14ac:dyDescent="0.25">
      <c r="A94" s="17" t="s">
        <v>33</v>
      </c>
      <c r="B94" s="13" t="s">
        <v>98</v>
      </c>
      <c r="C94" s="72">
        <f>'Memoria de Cálculo'!C68</f>
        <v>9.5890410958904115E-3</v>
      </c>
      <c r="D94" s="39">
        <f t="shared" si="1"/>
        <v>15.680383561643836</v>
      </c>
      <c r="E94" s="46"/>
    </row>
    <row r="95" spans="1:5" ht="15" x14ac:dyDescent="0.25">
      <c r="A95" s="17" t="s">
        <v>35</v>
      </c>
      <c r="B95" s="13" t="s">
        <v>99</v>
      </c>
      <c r="C95" s="72">
        <f>'Memoria de Cálculo'!C69</f>
        <v>1.3712328767123287E-4</v>
      </c>
      <c r="D95" s="39">
        <f t="shared" si="1"/>
        <v>0.22422948493150685</v>
      </c>
      <c r="E95" s="46"/>
    </row>
    <row r="96" spans="1:5" ht="15" x14ac:dyDescent="0.25">
      <c r="A96" s="17" t="s">
        <v>37</v>
      </c>
      <c r="B96" s="13" t="s">
        <v>100</v>
      </c>
      <c r="C96" s="72">
        <f>'Memoria de Cálculo'!C70</f>
        <v>2.6523287671232879E-3</v>
      </c>
      <c r="D96" s="39">
        <f t="shared" si="1"/>
        <v>4.3371940931506856</v>
      </c>
      <c r="E96" s="46"/>
    </row>
    <row r="97" spans="1:5" ht="15" x14ac:dyDescent="0.25">
      <c r="A97" s="47" t="s">
        <v>55</v>
      </c>
      <c r="B97" s="13" t="s">
        <v>101</v>
      </c>
      <c r="C97" s="72">
        <f>'Memoria de Cálculo'!C71</f>
        <v>5.0374429223744288E-4</v>
      </c>
      <c r="D97" s="39">
        <f t="shared" si="1"/>
        <v>0.82374281643835612</v>
      </c>
      <c r="E97" s="46"/>
    </row>
    <row r="98" spans="1:5" ht="29.25" x14ac:dyDescent="0.25">
      <c r="A98" s="47" t="s">
        <v>102</v>
      </c>
      <c r="B98" s="13" t="s">
        <v>103</v>
      </c>
      <c r="C98" s="72">
        <f>'Memoria de Cálculo'!C72</f>
        <v>6.6527032724505338E-3</v>
      </c>
      <c r="D98" s="39">
        <f>SUM(D90:D96)</f>
        <v>217.01530135251139</v>
      </c>
      <c r="E98" s="46"/>
    </row>
    <row r="99" spans="1:5" ht="15" x14ac:dyDescent="0.25">
      <c r="A99" s="287" t="s">
        <v>104</v>
      </c>
      <c r="B99" s="287"/>
      <c r="C99" s="73">
        <f>SUM(C90:C98)</f>
        <v>0.13986803812785387</v>
      </c>
      <c r="D99" s="64">
        <f>SUM(D90:D98)</f>
        <v>434.85434552146114</v>
      </c>
      <c r="E99" s="46"/>
    </row>
    <row r="100" spans="1:5" ht="15" x14ac:dyDescent="0.25">
      <c r="A100" s="80"/>
      <c r="B100" s="81"/>
      <c r="C100" s="82"/>
      <c r="D100" s="83"/>
      <c r="E100" s="46"/>
    </row>
    <row r="101" spans="1:5" ht="15" x14ac:dyDescent="0.25">
      <c r="A101" s="84"/>
      <c r="B101" s="85"/>
      <c r="C101" s="86"/>
      <c r="D101" s="87"/>
      <c r="E101" s="46"/>
    </row>
    <row r="102" spans="1:5" ht="15" x14ac:dyDescent="0.25">
      <c r="A102" s="288" t="s">
        <v>105</v>
      </c>
      <c r="B102" s="288"/>
      <c r="C102" s="35" t="s">
        <v>27</v>
      </c>
      <c r="D102" s="36" t="s">
        <v>28</v>
      </c>
      <c r="E102" s="46"/>
    </row>
    <row r="103" spans="1:5" ht="15" x14ac:dyDescent="0.25">
      <c r="A103" s="47" t="s">
        <v>3</v>
      </c>
      <c r="B103" s="13" t="s">
        <v>106</v>
      </c>
      <c r="C103" s="72" t="str">
        <f>'Memoria de Cálculo'!C85</f>
        <v>-</v>
      </c>
      <c r="D103" s="88">
        <v>0</v>
      </c>
      <c r="E103" s="46"/>
    </row>
    <row r="104" spans="1:5" ht="29.25" x14ac:dyDescent="0.25">
      <c r="A104" s="47" t="s">
        <v>5</v>
      </c>
      <c r="B104" s="13" t="s">
        <v>107</v>
      </c>
      <c r="C104" s="72" t="str">
        <f>'Memoria de Cálculo'!C86</f>
        <v>-</v>
      </c>
      <c r="D104" s="39">
        <v>0</v>
      </c>
      <c r="E104" s="46"/>
    </row>
    <row r="105" spans="1:5" ht="15" x14ac:dyDescent="0.25">
      <c r="A105" s="288" t="s">
        <v>104</v>
      </c>
      <c r="B105" s="288"/>
      <c r="C105" s="35">
        <f>SUM(C103)</f>
        <v>0</v>
      </c>
      <c r="D105" s="89">
        <f>SUM(D103)</f>
        <v>0</v>
      </c>
      <c r="E105" s="46"/>
    </row>
    <row r="106" spans="1:5" ht="15" x14ac:dyDescent="0.25">
      <c r="A106" s="71"/>
      <c r="B106" s="52"/>
      <c r="C106" s="56"/>
      <c r="D106" s="57"/>
      <c r="E106" s="46"/>
    </row>
    <row r="107" spans="1:5" ht="15" x14ac:dyDescent="0.25">
      <c r="A107" s="286" t="s">
        <v>108</v>
      </c>
      <c r="B107" s="286"/>
      <c r="C107" s="286"/>
      <c r="D107" s="286"/>
      <c r="E107" s="46"/>
    </row>
    <row r="108" spans="1:5" ht="15" x14ac:dyDescent="0.25">
      <c r="A108" s="50" t="s">
        <v>109</v>
      </c>
      <c r="B108" s="69"/>
      <c r="C108" s="51"/>
      <c r="D108" s="36" t="s">
        <v>28</v>
      </c>
      <c r="E108" s="46"/>
    </row>
    <row r="109" spans="1:5" ht="15" x14ac:dyDescent="0.25">
      <c r="A109" s="17" t="s">
        <v>110</v>
      </c>
      <c r="B109" s="37" t="s">
        <v>97</v>
      </c>
      <c r="C109" s="38"/>
      <c r="D109" s="39">
        <f>D99</f>
        <v>434.85434552146114</v>
      </c>
      <c r="E109" s="46"/>
    </row>
    <row r="110" spans="1:5" ht="15" x14ac:dyDescent="0.25">
      <c r="A110" s="17" t="s">
        <v>111</v>
      </c>
      <c r="B110" s="37" t="s">
        <v>112</v>
      </c>
      <c r="C110" s="38"/>
      <c r="D110" s="39">
        <f>D105</f>
        <v>0</v>
      </c>
      <c r="E110" s="46"/>
    </row>
    <row r="111" spans="1:5" ht="15" x14ac:dyDescent="0.25">
      <c r="A111" s="287" t="s">
        <v>113</v>
      </c>
      <c r="B111" s="287"/>
      <c r="C111" s="40"/>
      <c r="D111" s="64">
        <f>SUM(D109:D110)</f>
        <v>434.85434552146114</v>
      </c>
      <c r="E111" s="46"/>
    </row>
    <row r="112" spans="1:5" ht="15" x14ac:dyDescent="0.25">
      <c r="A112" s="71"/>
      <c r="B112" s="52"/>
      <c r="C112" s="56"/>
      <c r="D112" s="57"/>
      <c r="E112" s="46"/>
    </row>
    <row r="113" spans="1:6" ht="15" x14ac:dyDescent="0.25">
      <c r="A113" s="286" t="s">
        <v>114</v>
      </c>
      <c r="B113" s="286"/>
      <c r="C113" s="286"/>
      <c r="D113" s="286"/>
      <c r="E113" s="46"/>
    </row>
    <row r="114" spans="1:6" ht="15" customHeight="1" x14ac:dyDescent="0.25">
      <c r="A114" s="289" t="s">
        <v>115</v>
      </c>
      <c r="B114" s="289"/>
      <c r="C114" s="35"/>
      <c r="D114" s="36" t="s">
        <v>28</v>
      </c>
      <c r="E114" s="46"/>
    </row>
    <row r="115" spans="1:6" ht="15" x14ac:dyDescent="0.25">
      <c r="A115" s="17" t="s">
        <v>3</v>
      </c>
      <c r="B115" s="37" t="s">
        <v>116</v>
      </c>
      <c r="C115" s="38"/>
      <c r="D115" s="39">
        <f>'Memoria de Cálculo'!C92</f>
        <v>64.825000000000003</v>
      </c>
      <c r="E115" s="46"/>
    </row>
    <row r="116" spans="1:6" ht="15" x14ac:dyDescent="0.25">
      <c r="A116" s="17" t="s">
        <v>5</v>
      </c>
      <c r="B116" s="37" t="s">
        <v>117</v>
      </c>
      <c r="C116" s="38"/>
      <c r="D116" s="39"/>
      <c r="E116" s="46"/>
    </row>
    <row r="117" spans="1:6" ht="15" x14ac:dyDescent="0.25">
      <c r="A117" s="90" t="s">
        <v>8</v>
      </c>
      <c r="B117" s="37" t="s">
        <v>118</v>
      </c>
      <c r="C117" s="38"/>
      <c r="D117" s="39"/>
      <c r="E117" s="46"/>
    </row>
    <row r="118" spans="1:6" ht="15" x14ac:dyDescent="0.25">
      <c r="A118" s="90" t="s">
        <v>11</v>
      </c>
      <c r="B118" s="37" t="s">
        <v>38</v>
      </c>
      <c r="C118" s="38"/>
      <c r="D118" s="39"/>
      <c r="E118" s="46"/>
    </row>
    <row r="119" spans="1:6" ht="15" customHeight="1" x14ac:dyDescent="0.25">
      <c r="A119" s="290" t="s">
        <v>119</v>
      </c>
      <c r="B119" s="290"/>
      <c r="C119" s="73"/>
      <c r="D119" s="64">
        <f>SUM(D115:D118)</f>
        <v>64.825000000000003</v>
      </c>
      <c r="E119" s="46"/>
    </row>
    <row r="120" spans="1:6" ht="15" x14ac:dyDescent="0.25">
      <c r="A120" s="71"/>
      <c r="B120" s="52"/>
      <c r="C120" s="56"/>
      <c r="D120" s="57"/>
      <c r="E120" s="46"/>
    </row>
    <row r="121" spans="1:6" ht="15" x14ac:dyDescent="0.25">
      <c r="A121" s="91"/>
      <c r="B121" s="92" t="s">
        <v>120</v>
      </c>
      <c r="C121" s="93"/>
      <c r="D121" s="94">
        <f>D119+D111+D86+D67+D32</f>
        <v>3715.8993928547943</v>
      </c>
      <c r="E121" s="46"/>
    </row>
    <row r="122" spans="1:6" ht="15" x14ac:dyDescent="0.25">
      <c r="A122" s="55"/>
      <c r="B122" s="52"/>
      <c r="C122" s="56"/>
      <c r="D122" s="57"/>
      <c r="E122" s="46"/>
    </row>
    <row r="123" spans="1:6" ht="15" x14ac:dyDescent="0.25">
      <c r="A123" s="286" t="s">
        <v>121</v>
      </c>
      <c r="B123" s="286"/>
      <c r="C123" s="286"/>
      <c r="D123" s="286"/>
      <c r="E123" s="46"/>
    </row>
    <row r="124" spans="1:6" ht="15" x14ac:dyDescent="0.25">
      <c r="A124" s="17">
        <v>6</v>
      </c>
      <c r="B124" s="34" t="s">
        <v>122</v>
      </c>
      <c r="C124" s="35" t="s">
        <v>27</v>
      </c>
      <c r="D124" s="36" t="s">
        <v>28</v>
      </c>
      <c r="E124" s="46"/>
    </row>
    <row r="125" spans="1:6" ht="15" x14ac:dyDescent="0.25">
      <c r="A125" s="17" t="s">
        <v>3</v>
      </c>
      <c r="B125" s="13" t="s">
        <v>123</v>
      </c>
      <c r="C125" s="14">
        <f>'Memoria de Cálculo'!C107</f>
        <v>0.03</v>
      </c>
      <c r="D125" s="95">
        <f>C125*D121</f>
        <v>111.47698178564383</v>
      </c>
      <c r="E125" s="46"/>
    </row>
    <row r="126" spans="1:6" ht="15" x14ac:dyDescent="0.25">
      <c r="A126" s="17" t="s">
        <v>5</v>
      </c>
      <c r="B126" s="13" t="s">
        <v>124</v>
      </c>
      <c r="C126" s="14">
        <f>'Memoria de Cálculo'!C108</f>
        <v>6.7900000000000002E-2</v>
      </c>
      <c r="D126" s="95">
        <f>(D125+D121)*C126</f>
        <v>259.87885583808577</v>
      </c>
    </row>
    <row r="127" spans="1:6" ht="15" x14ac:dyDescent="0.25">
      <c r="A127" s="17" t="s">
        <v>8</v>
      </c>
      <c r="B127" s="34" t="s">
        <v>125</v>
      </c>
      <c r="C127" s="96"/>
      <c r="D127" s="97"/>
    </row>
    <row r="128" spans="1:6" ht="15" x14ac:dyDescent="0.25">
      <c r="A128" s="17"/>
      <c r="B128" s="98" t="s">
        <v>126</v>
      </c>
      <c r="C128" s="14">
        <f>'Memoria de Cálculo'!C110</f>
        <v>9.2499999999999999E-2</v>
      </c>
      <c r="D128" s="95">
        <f>(($D$126+$D$125+$D$121)/(1-SUM($C$128:$C$130))*C128)</f>
        <v>440.89925226736273</v>
      </c>
      <c r="F128" s="99"/>
    </row>
    <row r="129" spans="1:6" ht="15" x14ac:dyDescent="0.25">
      <c r="A129" s="17"/>
      <c r="B129" s="98" t="s">
        <v>127</v>
      </c>
      <c r="C129" s="14">
        <f>'Memoria de Cálculo'!C111</f>
        <v>0</v>
      </c>
      <c r="D129" s="95">
        <f>(($D$126+$D$125+$D$121)/(1-SUM($C$128:$C$130))*C129)</f>
        <v>0</v>
      </c>
    </row>
    <row r="130" spans="1:6" ht="15" x14ac:dyDescent="0.25">
      <c r="A130" s="17"/>
      <c r="B130" s="98" t="s">
        <v>128</v>
      </c>
      <c r="C130" s="14">
        <f>'Memoria de Cálculo'!C112</f>
        <v>0.05</v>
      </c>
      <c r="D130" s="95">
        <f>(($D$126+$D$125+$D$121)/(1-SUM($C$128:$C$130))*C130)</f>
        <v>238.3239201445204</v>
      </c>
    </row>
    <row r="131" spans="1:6" ht="15" x14ac:dyDescent="0.25">
      <c r="A131" s="294" t="s">
        <v>129</v>
      </c>
      <c r="B131" s="294"/>
      <c r="C131" s="100">
        <f>SUM(C125:C130)</f>
        <v>0.2404</v>
      </c>
      <c r="D131" s="101">
        <f>SUM(D125:D130)</f>
        <v>1050.5790100356128</v>
      </c>
    </row>
    <row r="132" spans="1:6" ht="15" x14ac:dyDescent="0.25">
      <c r="A132" s="19"/>
      <c r="B132" s="102"/>
      <c r="C132" s="82"/>
      <c r="D132" s="103"/>
      <c r="F132" s="99"/>
    </row>
    <row r="133" spans="1:6" ht="15" x14ac:dyDescent="0.25">
      <c r="A133" s="19"/>
      <c r="B133" s="104"/>
      <c r="C133" s="105"/>
      <c r="D133" s="106"/>
      <c r="F133" s="99"/>
    </row>
    <row r="134" spans="1:6" ht="15" x14ac:dyDescent="0.25">
      <c r="A134" s="286" t="s">
        <v>130</v>
      </c>
      <c r="B134" s="286"/>
      <c r="C134" s="286"/>
      <c r="D134" s="286"/>
    </row>
    <row r="135" spans="1:6" ht="15" x14ac:dyDescent="0.25">
      <c r="A135" s="49" t="s">
        <v>131</v>
      </c>
      <c r="B135" s="107"/>
      <c r="C135" s="96"/>
      <c r="D135" s="36" t="s">
        <v>28</v>
      </c>
      <c r="F135" s="108"/>
    </row>
    <row r="136" spans="1:6" x14ac:dyDescent="0.2">
      <c r="A136" s="109" t="s">
        <v>3</v>
      </c>
      <c r="B136" s="98" t="str">
        <f>A23</f>
        <v>MÓDULO 1 - COMPOSIÇÃO DA REMUNERAÇÃO</v>
      </c>
      <c r="C136" s="14"/>
      <c r="D136" s="70">
        <f>D32</f>
        <v>1635.24</v>
      </c>
    </row>
    <row r="137" spans="1:6" ht="28.5" customHeight="1" x14ac:dyDescent="0.2">
      <c r="A137" s="109" t="s">
        <v>5</v>
      </c>
      <c r="B137" s="295" t="str">
        <f>A34</f>
        <v>MÓDULO 2 – ENCARGOS E BENEFÍCIOS ANUAIS, MENSAIS E DIÁRIOS</v>
      </c>
      <c r="C137" s="295"/>
      <c r="D137" s="70">
        <f>D67</f>
        <v>1443.1383999999998</v>
      </c>
    </row>
    <row r="138" spans="1:6" x14ac:dyDescent="0.2">
      <c r="A138" s="109" t="s">
        <v>8</v>
      </c>
      <c r="B138" s="98" t="str">
        <f>A69</f>
        <v>MÓDULO 3 – PROVISÃO PARA RESCISÃO</v>
      </c>
      <c r="C138" s="14"/>
      <c r="D138" s="70">
        <f>D86</f>
        <v>137.84164733333333</v>
      </c>
    </row>
    <row r="139" spans="1:6" ht="33" customHeight="1" x14ac:dyDescent="0.2">
      <c r="A139" s="109" t="s">
        <v>11</v>
      </c>
      <c r="B139" s="98" t="str">
        <f>A88</f>
        <v>MÓDULO 4 – CUSTO DE REPOSIÇÃO DO PROFISSIONAL AUSENTE</v>
      </c>
      <c r="C139" s="14"/>
      <c r="D139" s="70">
        <f>D111</f>
        <v>434.85434552146114</v>
      </c>
    </row>
    <row r="140" spans="1:6" ht="26.25" customHeight="1" x14ac:dyDescent="0.2">
      <c r="A140" s="109" t="s">
        <v>33</v>
      </c>
      <c r="B140" s="98" t="str">
        <f>A113</f>
        <v>MÓDULO 5 – INSUMOS DIVERSOS</v>
      </c>
      <c r="C140" s="14"/>
      <c r="D140" s="70">
        <f>D119</f>
        <v>64.825000000000003</v>
      </c>
    </row>
    <row r="141" spans="1:6" ht="18" customHeight="1" x14ac:dyDescent="0.25">
      <c r="A141" s="17"/>
      <c r="B141" s="34" t="s">
        <v>132</v>
      </c>
      <c r="C141" s="96"/>
      <c r="D141" s="110">
        <f>SUM(D136:D140)</f>
        <v>3715.8993928547939</v>
      </c>
    </row>
    <row r="142" spans="1:6" ht="18" customHeight="1" x14ac:dyDescent="0.2">
      <c r="A142" s="12" t="s">
        <v>35</v>
      </c>
      <c r="B142" s="13" t="str">
        <f>A123</f>
        <v>MÓDULO 6 – CUSTOS INDIRETOS, TRIBUTOS E LUCRO</v>
      </c>
      <c r="C142" s="14"/>
      <c r="D142" s="39">
        <f>D131</f>
        <v>1050.5790100356128</v>
      </c>
    </row>
    <row r="143" spans="1:6" ht="17.25" customHeight="1" x14ac:dyDescent="0.2">
      <c r="A143" s="296" t="s">
        <v>133</v>
      </c>
      <c r="B143" s="296"/>
      <c r="C143" s="296"/>
      <c r="D143" s="111">
        <f>ROUND(D142+D141,2)</f>
        <v>4766.4799999999996</v>
      </c>
    </row>
    <row r="144" spans="1:6" ht="13.15" customHeight="1" x14ac:dyDescent="0.2"/>
    <row r="145" spans="1:7" ht="13.15" customHeight="1" x14ac:dyDescent="0.2">
      <c r="A145" s="19"/>
      <c r="B145" s="28" t="s">
        <v>134</v>
      </c>
      <c r="C145" s="29"/>
      <c r="D145" s="30"/>
    </row>
    <row r="146" spans="1:7" ht="20.25" customHeight="1" x14ac:dyDescent="0.2">
      <c r="A146" s="297" t="s">
        <v>135</v>
      </c>
      <c r="B146" s="297"/>
      <c r="C146" s="297"/>
      <c r="D146" s="297"/>
      <c r="E146" s="297"/>
      <c r="F146" s="297"/>
      <c r="G146" s="297"/>
    </row>
    <row r="147" spans="1:7" ht="69" customHeight="1" x14ac:dyDescent="0.2">
      <c r="A147" s="112"/>
      <c r="B147" s="113" t="s">
        <v>136</v>
      </c>
      <c r="C147" s="114" t="s">
        <v>137</v>
      </c>
      <c r="D147" s="115" t="s">
        <v>138</v>
      </c>
      <c r="E147" s="114" t="s">
        <v>139</v>
      </c>
      <c r="F147" s="114" t="s">
        <v>140</v>
      </c>
      <c r="G147" s="116" t="s">
        <v>141</v>
      </c>
    </row>
    <row r="148" spans="1:7" ht="38.25" customHeight="1" x14ac:dyDescent="0.2">
      <c r="A148" s="112"/>
      <c r="B148" s="117" t="s">
        <v>142</v>
      </c>
      <c r="C148" s="118">
        <f>D143</f>
        <v>4766.4799999999996</v>
      </c>
      <c r="D148" s="119">
        <v>1</v>
      </c>
      <c r="E148" s="118">
        <f>C148*D148</f>
        <v>4766.4799999999996</v>
      </c>
      <c r="F148" s="120">
        <v>15</v>
      </c>
      <c r="G148" s="118">
        <f>E148*F148</f>
        <v>71497.2</v>
      </c>
    </row>
    <row r="149" spans="1:7" ht="30" customHeight="1" x14ac:dyDescent="0.2">
      <c r="A149" s="27"/>
      <c r="B149" s="121"/>
      <c r="C149" s="122"/>
      <c r="D149" s="291" t="s">
        <v>143</v>
      </c>
      <c r="E149" s="291"/>
      <c r="F149" s="291"/>
      <c r="G149" s="123">
        <f>G148</f>
        <v>71497.2</v>
      </c>
    </row>
    <row r="150" spans="1:7" ht="13.9" customHeight="1" x14ac:dyDescent="0.2"/>
    <row r="151" spans="1:7" ht="15" customHeight="1" x14ac:dyDescent="0.2">
      <c r="A151" s="292" t="s">
        <v>144</v>
      </c>
      <c r="B151" s="292"/>
      <c r="C151" s="292"/>
      <c r="D151" s="124"/>
    </row>
    <row r="152" spans="1:7" ht="15" customHeight="1" x14ac:dyDescent="0.25">
      <c r="A152" s="293" t="s">
        <v>145</v>
      </c>
      <c r="B152" s="293"/>
      <c r="C152" s="293"/>
      <c r="D152" s="125"/>
    </row>
    <row r="153" spans="1:7" ht="20.100000000000001" customHeight="1" x14ac:dyDescent="0.25">
      <c r="A153" s="126"/>
      <c r="B153" s="127" t="s">
        <v>146</v>
      </c>
      <c r="C153" s="128" t="s">
        <v>147</v>
      </c>
      <c r="D153" s="125"/>
    </row>
    <row r="154" spans="1:7" ht="20.25" customHeight="1" x14ac:dyDescent="0.2">
      <c r="A154" s="129" t="s">
        <v>3</v>
      </c>
      <c r="B154" s="130" t="s">
        <v>148</v>
      </c>
      <c r="C154" s="131">
        <f>E148</f>
        <v>4766.4799999999996</v>
      </c>
      <c r="D154" s="124"/>
    </row>
    <row r="155" spans="1:7" ht="21" customHeight="1" x14ac:dyDescent="0.2">
      <c r="A155" s="132" t="s">
        <v>5</v>
      </c>
      <c r="B155" s="133" t="s">
        <v>149</v>
      </c>
      <c r="C155" s="134">
        <f>G148</f>
        <v>71497.2</v>
      </c>
      <c r="D155" s="124"/>
    </row>
    <row r="156" spans="1:7" ht="27.75" customHeight="1" x14ac:dyDescent="0.2">
      <c r="A156" s="135" t="s">
        <v>8</v>
      </c>
      <c r="B156" s="136" t="s">
        <v>150</v>
      </c>
      <c r="C156" s="137">
        <f>C155*30</f>
        <v>2144916</v>
      </c>
      <c r="D156" s="124"/>
    </row>
    <row r="157" spans="1:7" ht="13.15" customHeight="1" x14ac:dyDescent="0.2">
      <c r="A157" s="19"/>
      <c r="D157" s="48"/>
    </row>
    <row r="158" spans="1:7" ht="19.149999999999999" customHeight="1" x14ac:dyDescent="0.25">
      <c r="B158" s="138"/>
      <c r="C158" s="139"/>
    </row>
    <row r="161" spans="1:1" x14ac:dyDescent="0.2">
      <c r="A161" s="65"/>
    </row>
    <row r="162" spans="1:1" x14ac:dyDescent="0.2">
      <c r="A162" s="65"/>
    </row>
  </sheetData>
  <mergeCells count="43">
    <mergeCell ref="D149:F149"/>
    <mergeCell ref="A151:C151"/>
    <mergeCell ref="A152:C152"/>
    <mergeCell ref="A131:B131"/>
    <mergeCell ref="A134:D134"/>
    <mergeCell ref="B137:C137"/>
    <mergeCell ref="A143:C143"/>
    <mergeCell ref="A146:G146"/>
    <mergeCell ref="A111:B111"/>
    <mergeCell ref="A113:D113"/>
    <mergeCell ref="A114:B114"/>
    <mergeCell ref="A119:B119"/>
    <mergeCell ref="A123:D123"/>
    <mergeCell ref="A89:B89"/>
    <mergeCell ref="A99:B99"/>
    <mergeCell ref="A102:B102"/>
    <mergeCell ref="A105:B105"/>
    <mergeCell ref="A107:D107"/>
    <mergeCell ref="A80:B80"/>
    <mergeCell ref="A82:D82"/>
    <mergeCell ref="A83:B83"/>
    <mergeCell ref="A86:B86"/>
    <mergeCell ref="A88:D88"/>
    <mergeCell ref="A67:B67"/>
    <mergeCell ref="A69:D69"/>
    <mergeCell ref="A70:B70"/>
    <mergeCell ref="A74:B74"/>
    <mergeCell ref="A76:B76"/>
    <mergeCell ref="A42:B42"/>
    <mergeCell ref="A51:B51"/>
    <mergeCell ref="A53:B53"/>
    <mergeCell ref="A60:B60"/>
    <mergeCell ref="A62:D62"/>
    <mergeCell ref="A23:D23"/>
    <mergeCell ref="A32:B32"/>
    <mergeCell ref="A34:D34"/>
    <mergeCell ref="A35:B35"/>
    <mergeCell ref="A40:B40"/>
    <mergeCell ref="A2:B2"/>
    <mergeCell ref="C2:D2"/>
    <mergeCell ref="A4:D4"/>
    <mergeCell ref="A10:D10"/>
    <mergeCell ref="A16:D16"/>
  </mergeCells>
  <pageMargins left="0.39374999999999999" right="0.196527777777778" top="0.59027777777777801" bottom="0.39374999999999999" header="0.511811023622047" footer="0.511811023622047"/>
  <pageSetup paperSize="9" scale="65" orientation="portrait" horizontalDpi="300" verticalDpi="300" r:id="rId1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31"/>
  <sheetViews>
    <sheetView view="pageBreakPreview" topLeftCell="A16" zoomScaleNormal="100" workbookViewId="0">
      <selection activeCell="C28" sqref="C28"/>
    </sheetView>
  </sheetViews>
  <sheetFormatPr defaultColWidth="8.7109375" defaultRowHeight="12.75" x14ac:dyDescent="0.2"/>
  <cols>
    <col min="1" max="1" width="6.140625" customWidth="1"/>
    <col min="2" max="2" width="9.140625" customWidth="1"/>
    <col min="3" max="3" width="82.140625" customWidth="1"/>
    <col min="4" max="4" width="22.140625" customWidth="1"/>
    <col min="5" max="5" width="15" customWidth="1"/>
    <col min="6" max="6" width="17" customWidth="1"/>
    <col min="7" max="7" width="9.140625" customWidth="1"/>
    <col min="12" max="12" width="14.28515625" customWidth="1"/>
    <col min="13" max="13" width="14.5703125" customWidth="1"/>
  </cols>
  <sheetData>
    <row r="3" spans="2:13" ht="12.75" customHeight="1" x14ac:dyDescent="0.2">
      <c r="B3" s="298" t="s">
        <v>151</v>
      </c>
      <c r="C3" s="298"/>
      <c r="D3" s="140"/>
      <c r="E3" s="141" t="s">
        <v>152</v>
      </c>
      <c r="F3" s="141" t="s">
        <v>153</v>
      </c>
      <c r="G3" s="142"/>
      <c r="I3" s="299"/>
      <c r="J3" s="299"/>
      <c r="K3" s="299"/>
      <c r="L3" s="299"/>
      <c r="M3" s="299"/>
    </row>
    <row r="4" spans="2:13" ht="15.75" x14ac:dyDescent="0.25">
      <c r="B4" s="300" t="s">
        <v>154</v>
      </c>
      <c r="C4" s="300"/>
      <c r="D4" s="140"/>
      <c r="E4" s="143">
        <v>234</v>
      </c>
      <c r="F4" s="143">
        <f>E4/2</f>
        <v>117</v>
      </c>
      <c r="G4" s="144"/>
      <c r="I4" s="301"/>
      <c r="J4" s="301"/>
      <c r="K4" s="301"/>
      <c r="L4" s="301"/>
      <c r="M4" s="280"/>
    </row>
    <row r="5" spans="2:13" ht="15" x14ac:dyDescent="0.25">
      <c r="B5" s="302" t="s">
        <v>155</v>
      </c>
      <c r="C5" s="302"/>
      <c r="D5" s="142"/>
      <c r="E5" s="145"/>
      <c r="F5" s="145"/>
      <c r="G5" s="142"/>
      <c r="I5" s="303"/>
      <c r="J5" s="303"/>
      <c r="K5" s="303"/>
      <c r="L5" s="303"/>
      <c r="M5" s="281"/>
    </row>
    <row r="6" spans="2:13" ht="15" customHeight="1" x14ac:dyDescent="0.2">
      <c r="B6" s="304" t="s">
        <v>156</v>
      </c>
      <c r="C6" s="304"/>
      <c r="D6" s="146">
        <f>'Memoria de Cálculo'!C107</f>
        <v>0.03</v>
      </c>
      <c r="E6" s="147">
        <f>E4*$D$6</f>
        <v>7.02</v>
      </c>
      <c r="F6" s="147">
        <f>F4*$D$6</f>
        <v>3.51</v>
      </c>
      <c r="G6" s="142"/>
      <c r="I6" s="282"/>
      <c r="J6" s="282"/>
      <c r="K6" s="282"/>
      <c r="L6" s="282"/>
      <c r="M6" s="281"/>
    </row>
    <row r="7" spans="2:13" ht="15" customHeight="1" x14ac:dyDescent="0.2">
      <c r="B7" s="304" t="s">
        <v>157</v>
      </c>
      <c r="C7" s="304"/>
      <c r="D7" s="146">
        <f>'Memoria de Cálculo'!C108</f>
        <v>6.7900000000000002E-2</v>
      </c>
      <c r="E7" s="147">
        <f>E4*$D$7</f>
        <v>15.8886</v>
      </c>
      <c r="F7" s="147">
        <f>F4*$D$7</f>
        <v>7.9443000000000001</v>
      </c>
      <c r="G7" s="142"/>
      <c r="I7" s="282"/>
      <c r="J7" s="282"/>
      <c r="K7" s="282"/>
      <c r="L7" s="282"/>
      <c r="M7" s="281"/>
    </row>
    <row r="8" spans="2:13" ht="15.75" customHeight="1" x14ac:dyDescent="0.2">
      <c r="B8" s="305" t="s">
        <v>158</v>
      </c>
      <c r="C8" s="305"/>
      <c r="D8" s="148">
        <f>SUM(D6:D7)</f>
        <v>9.7900000000000001E-2</v>
      </c>
      <c r="E8" s="149">
        <f>SUM(E6:E7)</f>
        <v>22.9086</v>
      </c>
      <c r="F8" s="149">
        <f>SUM(F6:F7)</f>
        <v>11.4543</v>
      </c>
      <c r="G8" s="142"/>
      <c r="I8" s="282"/>
      <c r="J8" s="282"/>
      <c r="K8" s="282"/>
      <c r="L8" s="282"/>
      <c r="M8" s="281"/>
    </row>
    <row r="9" spans="2:13" ht="15" x14ac:dyDescent="0.25">
      <c r="B9" s="302" t="s">
        <v>159</v>
      </c>
      <c r="C9" s="302"/>
      <c r="D9" s="150"/>
      <c r="E9" s="151"/>
      <c r="F9" s="151"/>
      <c r="G9" s="142"/>
      <c r="I9" s="282"/>
      <c r="J9" s="282"/>
      <c r="K9" s="282"/>
      <c r="L9" s="282"/>
      <c r="M9" s="281"/>
    </row>
    <row r="10" spans="2:13" ht="15" customHeight="1" x14ac:dyDescent="0.2">
      <c r="B10" s="304" t="s">
        <v>160</v>
      </c>
      <c r="C10" s="304"/>
      <c r="D10" s="146">
        <v>0.05</v>
      </c>
      <c r="E10" s="147">
        <f>((E4+E8)/(1-(SUM($D$10:$D$11)))*$D$10)</f>
        <v>14.69728832951945</v>
      </c>
      <c r="F10" s="147">
        <f>((F4+F8)/(1-(SUM($D$10:$D$11)))*$D$10)</f>
        <v>7.3486441647597252</v>
      </c>
      <c r="G10" s="142"/>
      <c r="I10" s="282"/>
      <c r="J10" s="282"/>
      <c r="K10" s="282"/>
      <c r="L10" s="282"/>
      <c r="M10" s="282"/>
    </row>
    <row r="11" spans="2:13" ht="15" customHeight="1" x14ac:dyDescent="0.2">
      <c r="B11" s="304" t="s">
        <v>161</v>
      </c>
      <c r="C11" s="304"/>
      <c r="D11" s="146">
        <v>7.5999999999999998E-2</v>
      </c>
      <c r="E11" s="147">
        <f>((E4+E8)/(1-(SUM($D$10:$D$11)))*$D$11)</f>
        <v>22.339878260869561</v>
      </c>
      <c r="F11" s="147">
        <f>((F4+F8)/(1-(SUM($D$10:$D$11)))*$D$11)</f>
        <v>11.169939130434781</v>
      </c>
      <c r="G11" s="142"/>
      <c r="I11" s="301"/>
      <c r="J11" s="301"/>
      <c r="K11" s="301"/>
      <c r="L11" s="301"/>
      <c r="M11" s="281"/>
    </row>
    <row r="12" spans="2:13" ht="15" customHeight="1" x14ac:dyDescent="0.2">
      <c r="B12" s="304" t="s">
        <v>162</v>
      </c>
      <c r="C12" s="304"/>
      <c r="D12" s="146">
        <v>1.6500000000000001E-2</v>
      </c>
      <c r="E12" s="147">
        <f>((E4+E8)/(1-(SUM($D$10:$D$11)))*$D$12)</f>
        <v>4.8501051487414184</v>
      </c>
      <c r="F12" s="147">
        <f>((F4+F8)/(1-(SUM($D$10:$D$11)))*$D$12)</f>
        <v>2.4250525743707092</v>
      </c>
      <c r="G12" s="144"/>
    </row>
    <row r="13" spans="2:13" ht="15.75" customHeight="1" x14ac:dyDescent="0.2">
      <c r="B13" s="305" t="s">
        <v>163</v>
      </c>
      <c r="C13" s="305"/>
      <c r="D13" s="148">
        <f>SUM(D10:D12)</f>
        <v>0.14250000000000002</v>
      </c>
      <c r="E13" s="147">
        <f>SUM(E10:E12)</f>
        <v>41.887271739130433</v>
      </c>
      <c r="F13" s="147">
        <f>SUM(F10:F12)</f>
        <v>20.943635869565217</v>
      </c>
      <c r="G13" s="142"/>
    </row>
    <row r="14" spans="2:13" ht="15" x14ac:dyDescent="0.25">
      <c r="B14" s="306" t="s">
        <v>164</v>
      </c>
      <c r="C14" s="306"/>
      <c r="D14" s="152"/>
      <c r="E14" s="153">
        <f>E4+E8+E13</f>
        <v>298.7958717391304</v>
      </c>
      <c r="F14" s="153">
        <f>F4+F8+F13</f>
        <v>149.3979358695652</v>
      </c>
      <c r="G14" s="142"/>
    </row>
    <row r="15" spans="2:13" ht="15" customHeight="1" x14ac:dyDescent="0.2">
      <c r="B15" s="307" t="s">
        <v>165</v>
      </c>
      <c r="C15" s="307"/>
      <c r="D15" s="154"/>
      <c r="E15" s="147">
        <f>E14*15</f>
        <v>4481.9380760869562</v>
      </c>
      <c r="F15" s="147">
        <f>F14*15</f>
        <v>2240.9690380434781</v>
      </c>
      <c r="G15" s="142"/>
    </row>
    <row r="16" spans="2:13" ht="15" customHeight="1" x14ac:dyDescent="0.2">
      <c r="B16" s="307" t="s">
        <v>166</v>
      </c>
      <c r="C16" s="307"/>
      <c r="D16" s="154"/>
      <c r="E16" s="147">
        <f>E15*12</f>
        <v>53783.256913043471</v>
      </c>
      <c r="F16" s="147">
        <f>F15*12</f>
        <v>26891.628456521736</v>
      </c>
      <c r="G16" s="142"/>
    </row>
    <row r="17" spans="2:7" x14ac:dyDescent="0.2">
      <c r="B17" s="308" t="s">
        <v>167</v>
      </c>
      <c r="C17" s="308"/>
      <c r="D17" s="142"/>
      <c r="E17" s="142"/>
      <c r="F17" s="142"/>
      <c r="G17" s="142"/>
    </row>
    <row r="18" spans="2:7" x14ac:dyDescent="0.2">
      <c r="B18" s="156"/>
      <c r="C18" s="156"/>
      <c r="D18" s="142"/>
      <c r="E18" s="142"/>
      <c r="F18" s="142"/>
      <c r="G18" s="142"/>
    </row>
    <row r="19" spans="2:7" x14ac:dyDescent="0.2">
      <c r="B19" s="142"/>
      <c r="C19" s="155"/>
      <c r="D19" s="157"/>
      <c r="E19" s="142"/>
      <c r="F19" s="142"/>
      <c r="G19" s="142"/>
    </row>
    <row r="20" spans="2:7" x14ac:dyDescent="0.2">
      <c r="B20" s="140"/>
      <c r="C20" s="141" t="s">
        <v>145</v>
      </c>
      <c r="D20" s="141" t="s">
        <v>152</v>
      </c>
      <c r="E20" s="141" t="s">
        <v>153</v>
      </c>
      <c r="F20" s="142"/>
      <c r="G20" s="142"/>
    </row>
    <row r="21" spans="2:7" x14ac:dyDescent="0.2">
      <c r="B21" s="158"/>
      <c r="C21" s="159" t="s">
        <v>146</v>
      </c>
      <c r="D21" s="160" t="s">
        <v>147</v>
      </c>
      <c r="E21" s="160" t="s">
        <v>147</v>
      </c>
      <c r="F21" s="142"/>
      <c r="G21" s="142"/>
    </row>
    <row r="22" spans="2:7" ht="20.25" customHeight="1" x14ac:dyDescent="0.2">
      <c r="B22" s="158" t="s">
        <v>3</v>
      </c>
      <c r="C22" s="161" t="s">
        <v>168</v>
      </c>
      <c r="D22" s="162">
        <f>E14*15</f>
        <v>4481.9380760869562</v>
      </c>
      <c r="E22" s="162">
        <f>F14*15</f>
        <v>2240.9690380434781</v>
      </c>
      <c r="F22" s="142"/>
      <c r="G22" s="142"/>
    </row>
    <row r="23" spans="2:7" x14ac:dyDescent="0.2">
      <c r="B23" s="158" t="s">
        <v>5</v>
      </c>
      <c r="C23" s="161" t="s">
        <v>169</v>
      </c>
      <c r="D23" s="162">
        <f>E15*15</f>
        <v>67229.071141304346</v>
      </c>
      <c r="E23" s="162">
        <f>F15*15</f>
        <v>33614.535570652173</v>
      </c>
      <c r="F23" s="142"/>
      <c r="G23" s="142"/>
    </row>
    <row r="24" spans="2:7" ht="28.5" customHeight="1" x14ac:dyDescent="0.2">
      <c r="B24" s="163" t="s">
        <v>8</v>
      </c>
      <c r="C24" s="164" t="s">
        <v>170</v>
      </c>
      <c r="D24" s="165">
        <f>D23*30</f>
        <v>2016872.1342391304</v>
      </c>
      <c r="E24" s="165">
        <f>E23*30</f>
        <v>1008436.0671195652</v>
      </c>
      <c r="F24" s="142"/>
      <c r="G24" s="142"/>
    </row>
    <row r="25" spans="2:7" x14ac:dyDescent="0.2">
      <c r="B25" s="142"/>
      <c r="C25" s="142"/>
      <c r="D25" s="142"/>
      <c r="E25" s="142"/>
      <c r="F25" s="142"/>
      <c r="G25" s="142"/>
    </row>
    <row r="26" spans="2:7" ht="30" customHeight="1" x14ac:dyDescent="0.25">
      <c r="B26" s="142"/>
      <c r="C26" s="166" t="s">
        <v>171</v>
      </c>
      <c r="D26" s="142"/>
      <c r="E26" s="142"/>
      <c r="F26" s="142"/>
      <c r="G26" s="142"/>
    </row>
    <row r="27" spans="2:7" ht="30" customHeight="1" x14ac:dyDescent="0.2">
      <c r="B27" s="283"/>
      <c r="C27" s="310" t="s">
        <v>297</v>
      </c>
      <c r="D27" s="311"/>
      <c r="E27" s="311"/>
      <c r="F27" s="283"/>
      <c r="G27" s="283"/>
    </row>
    <row r="28" spans="2:7" ht="89.25" x14ac:dyDescent="0.2">
      <c r="C28" s="167" t="s">
        <v>294</v>
      </c>
    </row>
    <row r="29" spans="2:7" x14ac:dyDescent="0.2">
      <c r="C29" s="309" t="s">
        <v>295</v>
      </c>
      <c r="D29" s="309"/>
      <c r="E29" s="309"/>
    </row>
    <row r="30" spans="2:7" x14ac:dyDescent="0.2">
      <c r="C30" s="309" t="s">
        <v>296</v>
      </c>
      <c r="D30" s="309"/>
      <c r="E30" s="309"/>
    </row>
    <row r="31" spans="2:7" x14ac:dyDescent="0.2">
      <c r="C31" t="s">
        <v>172</v>
      </c>
    </row>
  </sheetData>
  <mergeCells count="22">
    <mergeCell ref="B15:C15"/>
    <mergeCell ref="B16:C16"/>
    <mergeCell ref="B17:C17"/>
    <mergeCell ref="C29:E29"/>
    <mergeCell ref="C30:E30"/>
    <mergeCell ref="C27:E27"/>
    <mergeCell ref="B11:C11"/>
    <mergeCell ref="I11:L11"/>
    <mergeCell ref="B12:C12"/>
    <mergeCell ref="B13:C13"/>
    <mergeCell ref="B14:C14"/>
    <mergeCell ref="B6:C6"/>
    <mergeCell ref="B7:C7"/>
    <mergeCell ref="B8:C8"/>
    <mergeCell ref="B9:C9"/>
    <mergeCell ref="B10:C10"/>
    <mergeCell ref="B3:C3"/>
    <mergeCell ref="I3:M3"/>
    <mergeCell ref="B4:C4"/>
    <mergeCell ref="I4:L4"/>
    <mergeCell ref="B5:C5"/>
    <mergeCell ref="I5:L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36"/>
  <sheetViews>
    <sheetView view="pageBreakPreview" topLeftCell="D31" zoomScaleNormal="66" workbookViewId="0">
      <selection activeCell="I35" sqref="I35"/>
    </sheetView>
  </sheetViews>
  <sheetFormatPr defaultColWidth="9.140625" defaultRowHeight="15" x14ac:dyDescent="0.25"/>
  <cols>
    <col min="1" max="1" width="4" style="168" customWidth="1"/>
    <col min="2" max="2" width="101.42578125" style="168" customWidth="1"/>
    <col min="3" max="3" width="26.5703125" style="168" customWidth="1"/>
    <col min="4" max="4" width="51.28515625" style="168" customWidth="1"/>
    <col min="5" max="5" width="70.5703125" style="168" customWidth="1"/>
    <col min="6" max="6" width="18.140625" style="168" customWidth="1"/>
    <col min="7" max="7" width="14.42578125" style="168" customWidth="1"/>
    <col min="8" max="8" width="13.7109375" style="168" customWidth="1"/>
    <col min="9" max="9" width="13" style="168" customWidth="1"/>
    <col min="10" max="10" width="5.140625" style="168" customWidth="1"/>
    <col min="11" max="11" width="19.85546875" style="168" customWidth="1"/>
    <col min="12" max="12" width="15.140625" style="168" customWidth="1"/>
    <col min="13" max="13" width="13.42578125" style="168" customWidth="1"/>
    <col min="14" max="14" width="15.85546875" style="168" customWidth="1"/>
    <col min="15" max="1024" width="9.140625" style="168"/>
  </cols>
  <sheetData>
    <row r="1" spans="1:5" x14ac:dyDescent="0.25">
      <c r="B1" s="169" t="s">
        <v>173</v>
      </c>
      <c r="D1" s="170"/>
    </row>
    <row r="2" spans="1:5" ht="16.5" customHeight="1" x14ac:dyDescent="0.25">
      <c r="A2" s="312" t="s">
        <v>142</v>
      </c>
      <c r="B2" s="312"/>
      <c r="C2" s="312"/>
      <c r="D2" s="172"/>
    </row>
    <row r="3" spans="1:5" ht="16.5" customHeight="1" x14ac:dyDescent="0.25">
      <c r="A3" s="312" t="s">
        <v>174</v>
      </c>
      <c r="B3" s="312"/>
      <c r="C3" s="173" t="s">
        <v>147</v>
      </c>
      <c r="D3" s="174"/>
    </row>
    <row r="4" spans="1:5" ht="15.75" customHeight="1" x14ac:dyDescent="0.25">
      <c r="A4" s="313" t="s">
        <v>175</v>
      </c>
      <c r="B4" s="313"/>
      <c r="C4" s="175">
        <v>1635.24</v>
      </c>
      <c r="D4" s="176" t="s">
        <v>176</v>
      </c>
    </row>
    <row r="5" spans="1:5" x14ac:dyDescent="0.25">
      <c r="D5" s="170"/>
    </row>
    <row r="7" spans="1:5" x14ac:dyDescent="0.25">
      <c r="B7" s="169" t="s">
        <v>177</v>
      </c>
    </row>
    <row r="8" spans="1:5" x14ac:dyDescent="0.25">
      <c r="B8" s="169" t="s">
        <v>178</v>
      </c>
    </row>
    <row r="9" spans="1:5" ht="18" customHeight="1" x14ac:dyDescent="0.25">
      <c r="A9" s="177"/>
      <c r="B9" s="178" t="s">
        <v>179</v>
      </c>
      <c r="C9" s="179" t="s">
        <v>27</v>
      </c>
      <c r="D9" s="180" t="s">
        <v>180</v>
      </c>
      <c r="E9" s="180" t="s">
        <v>181</v>
      </c>
    </row>
    <row r="10" spans="1:5" ht="30" x14ac:dyDescent="0.25">
      <c r="A10" s="181" t="s">
        <v>3</v>
      </c>
      <c r="B10" s="182" t="s">
        <v>182</v>
      </c>
      <c r="C10" s="183">
        <f>1/12</f>
        <v>8.3333333333333329E-2</v>
      </c>
      <c r="D10" s="184" t="s">
        <v>183</v>
      </c>
      <c r="E10" s="184" t="s">
        <v>184</v>
      </c>
    </row>
    <row r="11" spans="1:5" ht="35.25" customHeight="1" x14ac:dyDescent="0.25">
      <c r="A11" s="181" t="s">
        <v>5</v>
      </c>
      <c r="B11" s="182" t="s">
        <v>185</v>
      </c>
      <c r="C11" s="185">
        <f>C10/3</f>
        <v>2.7777777777777776E-2</v>
      </c>
      <c r="D11" s="186" t="s">
        <v>186</v>
      </c>
      <c r="E11" s="186" t="s">
        <v>187</v>
      </c>
    </row>
    <row r="12" spans="1:5" x14ac:dyDescent="0.25">
      <c r="A12" s="187"/>
      <c r="B12" s="188" t="s">
        <v>188</v>
      </c>
      <c r="C12" s="185">
        <f>C11+C10</f>
        <v>0.1111111111111111</v>
      </c>
      <c r="D12" s="189"/>
      <c r="E12" s="190"/>
    </row>
    <row r="13" spans="1:5" x14ac:dyDescent="0.25">
      <c r="A13" s="187"/>
      <c r="B13" s="188" t="s">
        <v>189</v>
      </c>
      <c r="C13" s="185">
        <f>C25*C12</f>
        <v>4.4222222222222225E-2</v>
      </c>
      <c r="D13" s="189"/>
      <c r="E13" s="190"/>
    </row>
    <row r="14" spans="1:5" x14ac:dyDescent="0.25">
      <c r="B14" s="169"/>
    </row>
    <row r="15" spans="1:5" ht="42.75" x14ac:dyDescent="0.25">
      <c r="B15" s="169" t="s">
        <v>190</v>
      </c>
    </row>
    <row r="16" spans="1:5" x14ac:dyDescent="0.25">
      <c r="A16" s="177"/>
      <c r="B16" s="178" t="s">
        <v>179</v>
      </c>
      <c r="C16" s="178" t="s">
        <v>27</v>
      </c>
      <c r="D16" s="178" t="s">
        <v>191</v>
      </c>
      <c r="E16" s="178" t="s">
        <v>181</v>
      </c>
    </row>
    <row r="17" spans="1:14" x14ac:dyDescent="0.25">
      <c r="A17" s="181" t="s">
        <v>3</v>
      </c>
      <c r="B17" s="182" t="s">
        <v>192</v>
      </c>
      <c r="C17" s="191">
        <v>0.2</v>
      </c>
      <c r="D17" s="192" t="s">
        <v>193</v>
      </c>
      <c r="E17" s="190" t="s">
        <v>194</v>
      </c>
    </row>
    <row r="18" spans="1:14" x14ac:dyDescent="0.25">
      <c r="A18" s="181" t="s">
        <v>5</v>
      </c>
      <c r="B18" s="182" t="s">
        <v>195</v>
      </c>
      <c r="C18" s="191">
        <v>2.5000000000000001E-2</v>
      </c>
      <c r="D18" s="192" t="s">
        <v>193</v>
      </c>
      <c r="E18" s="190" t="s">
        <v>196</v>
      </c>
    </row>
    <row r="19" spans="1:14" x14ac:dyDescent="0.25">
      <c r="A19" s="181" t="s">
        <v>8</v>
      </c>
      <c r="B19" s="182" t="s">
        <v>197</v>
      </c>
      <c r="C19" s="191">
        <v>0.06</v>
      </c>
      <c r="D19" s="192" t="s">
        <v>193</v>
      </c>
      <c r="E19" s="190"/>
    </row>
    <row r="20" spans="1:14" x14ac:dyDescent="0.25">
      <c r="A20" s="181" t="s">
        <v>11</v>
      </c>
      <c r="B20" s="182" t="s">
        <v>51</v>
      </c>
      <c r="C20" s="191">
        <v>1.4999999999999999E-2</v>
      </c>
      <c r="D20" s="192" t="s">
        <v>193</v>
      </c>
      <c r="E20" s="190" t="s">
        <v>198</v>
      </c>
    </row>
    <row r="21" spans="1:14" x14ac:dyDescent="0.25">
      <c r="A21" s="181" t="s">
        <v>33</v>
      </c>
      <c r="B21" s="182" t="s">
        <v>199</v>
      </c>
      <c r="C21" s="191">
        <v>0.01</v>
      </c>
      <c r="D21" s="192" t="s">
        <v>193</v>
      </c>
      <c r="E21" s="190" t="s">
        <v>200</v>
      </c>
    </row>
    <row r="22" spans="1:14" x14ac:dyDescent="0.25">
      <c r="A22" s="181" t="s">
        <v>35</v>
      </c>
      <c r="B22" s="182" t="s">
        <v>201</v>
      </c>
      <c r="C22" s="191">
        <v>6.0000000000000001E-3</v>
      </c>
      <c r="D22" s="192" t="s">
        <v>193</v>
      </c>
      <c r="E22" s="190" t="s">
        <v>202</v>
      </c>
    </row>
    <row r="23" spans="1:14" x14ac:dyDescent="0.25">
      <c r="A23" s="181" t="s">
        <v>37</v>
      </c>
      <c r="B23" s="182" t="s">
        <v>203</v>
      </c>
      <c r="C23" s="191">
        <v>2E-3</v>
      </c>
      <c r="D23" s="192"/>
      <c r="E23" s="190" t="s">
        <v>204</v>
      </c>
    </row>
    <row r="24" spans="1:14" x14ac:dyDescent="0.25">
      <c r="A24" s="181" t="s">
        <v>55</v>
      </c>
      <c r="B24" s="182" t="s">
        <v>205</v>
      </c>
      <c r="C24" s="191">
        <v>0.08</v>
      </c>
      <c r="D24" s="192" t="s">
        <v>193</v>
      </c>
      <c r="E24" s="190" t="s">
        <v>206</v>
      </c>
    </row>
    <row r="25" spans="1:14" x14ac:dyDescent="0.25">
      <c r="A25" s="187"/>
      <c r="B25" s="188" t="s">
        <v>207</v>
      </c>
      <c r="C25" s="193">
        <v>0.39800000000000002</v>
      </c>
    </row>
    <row r="26" spans="1:14" ht="71.25" customHeight="1" x14ac:dyDescent="0.25">
      <c r="B26" s="314" t="s">
        <v>208</v>
      </c>
      <c r="C26" s="314"/>
      <c r="D26" s="314"/>
      <c r="E26" s="314"/>
    </row>
    <row r="27" spans="1:14" ht="34.5" customHeight="1" x14ac:dyDescent="0.25">
      <c r="B27" s="314" t="s">
        <v>209</v>
      </c>
      <c r="C27" s="314"/>
      <c r="D27" s="314"/>
      <c r="E27" s="31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ht="15.75" customHeight="1" x14ac:dyDescent="0.25">
      <c r="B28" s="169"/>
      <c r="F28" s="315" t="s">
        <v>210</v>
      </c>
      <c r="G28" s="315"/>
      <c r="H28" s="315"/>
      <c r="I28" s="315"/>
      <c r="J28" s="315"/>
      <c r="K28" s="315"/>
      <c r="L28" s="315"/>
      <c r="M28" s="315"/>
      <c r="N28" s="315"/>
    </row>
    <row r="29" spans="1:14" ht="15.75" customHeight="1" x14ac:dyDescent="0.25">
      <c r="B29" s="169" t="s">
        <v>211</v>
      </c>
      <c r="F29" s="316" t="s">
        <v>1</v>
      </c>
      <c r="G29" s="316"/>
      <c r="H29" s="316"/>
      <c r="I29" s="316"/>
      <c r="J29" s="195"/>
      <c r="K29" s="316" t="s">
        <v>212</v>
      </c>
      <c r="L29" s="316"/>
      <c r="M29" s="316"/>
      <c r="N29" s="316"/>
    </row>
    <row r="30" spans="1:14" ht="15.75" customHeight="1" x14ac:dyDescent="0.25">
      <c r="A30" s="196"/>
      <c r="B30" s="178" t="s">
        <v>179</v>
      </c>
      <c r="C30" s="317" t="s">
        <v>191</v>
      </c>
      <c r="D30" s="317"/>
      <c r="E30" s="197" t="s">
        <v>181</v>
      </c>
      <c r="F30" s="198" t="s">
        <v>213</v>
      </c>
      <c r="G30" s="198" t="s">
        <v>214</v>
      </c>
      <c r="H30" s="198"/>
      <c r="I30" s="198" t="s">
        <v>215</v>
      </c>
      <c r="J30" s="195"/>
      <c r="K30" s="199" t="s">
        <v>213</v>
      </c>
      <c r="L30" s="199" t="s">
        <v>214</v>
      </c>
      <c r="M30" s="199"/>
      <c r="N30" s="199" t="s">
        <v>215</v>
      </c>
    </row>
    <row r="31" spans="1:14" ht="105" customHeight="1" x14ac:dyDescent="0.25">
      <c r="A31" s="200" t="s">
        <v>3</v>
      </c>
      <c r="B31" s="182" t="s">
        <v>216</v>
      </c>
      <c r="C31" s="318" t="s">
        <v>217</v>
      </c>
      <c r="D31" s="318"/>
      <c r="E31" s="201" t="s">
        <v>218</v>
      </c>
      <c r="F31" s="202"/>
      <c r="G31" s="202"/>
      <c r="H31" s="202"/>
      <c r="I31" s="203">
        <f>ROUND(SUM(F31:H31)/3,2)</f>
        <v>0</v>
      </c>
      <c r="J31" s="204"/>
      <c r="K31" s="202"/>
      <c r="L31" s="202"/>
      <c r="M31" s="202"/>
      <c r="N31" s="202"/>
    </row>
    <row r="32" spans="1:14" ht="44.25" x14ac:dyDescent="0.25">
      <c r="A32" s="200" t="s">
        <v>5</v>
      </c>
      <c r="B32" s="182" t="s">
        <v>219</v>
      </c>
      <c r="C32" s="319">
        <v>383.59</v>
      </c>
      <c r="D32" s="319"/>
      <c r="E32" s="205" t="s">
        <v>220</v>
      </c>
      <c r="F32" s="206"/>
      <c r="G32" s="206"/>
      <c r="H32" s="206"/>
      <c r="I32" s="206"/>
      <c r="J32" s="207"/>
      <c r="K32" s="206"/>
      <c r="L32" s="206"/>
      <c r="M32" s="206"/>
      <c r="N32" s="206"/>
    </row>
    <row r="33" spans="1:14" ht="81.75" customHeight="1" x14ac:dyDescent="0.25">
      <c r="A33" s="200" t="s">
        <v>8</v>
      </c>
      <c r="B33" s="182" t="s">
        <v>221</v>
      </c>
      <c r="C33" s="320">
        <f>I33</f>
        <v>61.68</v>
      </c>
      <c r="D33" s="320"/>
      <c r="E33" s="208" t="s">
        <v>298</v>
      </c>
      <c r="F33" s="209"/>
      <c r="G33" s="209"/>
      <c r="H33" s="209"/>
      <c r="I33" s="210">
        <v>61.68</v>
      </c>
      <c r="J33" s="211"/>
      <c r="K33" s="212">
        <v>81.62</v>
      </c>
      <c r="L33" s="212">
        <v>46.36</v>
      </c>
      <c r="M33" s="212"/>
      <c r="N33" s="203">
        <f>ROUND(SUM(K33:M33)/2,2)</f>
        <v>63.99</v>
      </c>
    </row>
    <row r="34" spans="1:14" x14ac:dyDescent="0.25">
      <c r="A34" s="200" t="s">
        <v>11</v>
      </c>
      <c r="B34" s="182" t="s">
        <v>62</v>
      </c>
      <c r="C34" s="321"/>
      <c r="D34" s="321"/>
      <c r="E34" s="213"/>
      <c r="F34" s="209"/>
      <c r="G34" s="209"/>
      <c r="H34" s="209"/>
      <c r="I34" s="203"/>
      <c r="J34" s="211"/>
      <c r="K34" s="212"/>
      <c r="L34" s="212"/>
      <c r="M34" s="212"/>
      <c r="N34" s="203"/>
    </row>
    <row r="35" spans="1:14" x14ac:dyDescent="0.25">
      <c r="A35" s="200" t="s">
        <v>33</v>
      </c>
      <c r="B35" s="182" t="s">
        <v>63</v>
      </c>
      <c r="C35" s="320">
        <f>I35</f>
        <v>15.15</v>
      </c>
      <c r="D35" s="320"/>
      <c r="E35" s="201" t="s">
        <v>298</v>
      </c>
      <c r="F35" s="209"/>
      <c r="G35" s="209"/>
      <c r="H35" s="209"/>
      <c r="I35" s="210">
        <v>15.15</v>
      </c>
      <c r="J35" s="211"/>
      <c r="K35" s="212">
        <v>7.25</v>
      </c>
      <c r="L35" s="212">
        <v>29.69</v>
      </c>
      <c r="M35" s="212"/>
      <c r="N35" s="203">
        <f>ROUND(SUM(K35:M35)/2,2)</f>
        <v>18.47</v>
      </c>
    </row>
    <row r="36" spans="1:14" x14ac:dyDescent="0.25">
      <c r="A36" s="200" t="s">
        <v>35</v>
      </c>
      <c r="B36" s="182" t="s">
        <v>38</v>
      </c>
      <c r="C36" s="318"/>
      <c r="D36" s="318"/>
      <c r="E36" s="214"/>
    </row>
    <row r="37" spans="1:14" x14ac:dyDescent="0.25">
      <c r="B37" s="169"/>
    </row>
    <row r="38" spans="1:14" x14ac:dyDescent="0.25">
      <c r="B38" s="169" t="s">
        <v>223</v>
      </c>
    </row>
    <row r="39" spans="1:14" x14ac:dyDescent="0.25">
      <c r="B39" s="169" t="s">
        <v>224</v>
      </c>
    </row>
    <row r="40" spans="1:14" ht="18" customHeight="1" x14ac:dyDescent="0.25">
      <c r="A40" s="196"/>
      <c r="B40" s="178" t="s">
        <v>179</v>
      </c>
      <c r="C40" s="171" t="s">
        <v>27</v>
      </c>
      <c r="D40" s="215" t="s">
        <v>180</v>
      </c>
      <c r="E40" s="215" t="s">
        <v>181</v>
      </c>
    </row>
    <row r="41" spans="1:14" ht="16.5" x14ac:dyDescent="0.25">
      <c r="A41" s="216" t="s">
        <v>3</v>
      </c>
      <c r="B41" s="217" t="s">
        <v>225</v>
      </c>
      <c r="C41" s="191">
        <f>1/12*0.1</f>
        <v>8.3333333333333332E-3</v>
      </c>
      <c r="D41" s="190" t="s">
        <v>226</v>
      </c>
      <c r="E41" s="190" t="s">
        <v>227</v>
      </c>
    </row>
    <row r="42" spans="1:14" ht="38.450000000000003" customHeight="1" x14ac:dyDescent="0.25">
      <c r="A42" s="200" t="s">
        <v>5</v>
      </c>
      <c r="B42" s="182" t="s">
        <v>77</v>
      </c>
      <c r="C42" s="191">
        <f>C41*0.08</f>
        <v>6.6666666666666664E-4</v>
      </c>
      <c r="D42" s="218" t="s">
        <v>228</v>
      </c>
      <c r="E42" s="189" t="s">
        <v>229</v>
      </c>
    </row>
    <row r="43" spans="1:14" ht="30" x14ac:dyDescent="0.25">
      <c r="A43" s="200" t="s">
        <v>8</v>
      </c>
      <c r="B43" s="182" t="s">
        <v>230</v>
      </c>
      <c r="C43" s="191">
        <f>0.08*0.5*0.1*(1+(1/12)+(1/12)+((1/3)*(1/12))+(1/12))</f>
        <v>5.1111111111111097E-3</v>
      </c>
      <c r="D43" s="219" t="s">
        <v>231</v>
      </c>
      <c r="E43" s="190" t="s">
        <v>232</v>
      </c>
      <c r="H43" s="220"/>
    </row>
    <row r="44" spans="1:14" x14ac:dyDescent="0.25">
      <c r="A44" s="200"/>
      <c r="B44" s="188" t="s">
        <v>233</v>
      </c>
      <c r="C44" s="191"/>
      <c r="D44" s="192"/>
      <c r="E44" s="190"/>
    </row>
    <row r="45" spans="1:14" x14ac:dyDescent="0.25">
      <c r="A45" s="221"/>
      <c r="B45" s="222"/>
      <c r="C45" s="223"/>
      <c r="D45" s="224"/>
      <c r="E45" s="174"/>
      <c r="H45" s="225"/>
    </row>
    <row r="46" spans="1:14" ht="54.75" customHeight="1" x14ac:dyDescent="0.25">
      <c r="A46" s="221"/>
      <c r="B46" s="322" t="s">
        <v>234</v>
      </c>
      <c r="C46" s="322"/>
      <c r="D46" s="322"/>
      <c r="E46" s="322"/>
    </row>
    <row r="47" spans="1:14" ht="65.45" customHeight="1" x14ac:dyDescent="0.25">
      <c r="A47" s="221"/>
      <c r="B47" s="322" t="s">
        <v>235</v>
      </c>
      <c r="C47" s="322"/>
      <c r="D47" s="322"/>
      <c r="E47" s="322"/>
    </row>
    <row r="48" spans="1:14" x14ac:dyDescent="0.25">
      <c r="B48" s="169"/>
    </row>
    <row r="49" spans="1:1020" x14ac:dyDescent="0.25">
      <c r="B49" s="169" t="s">
        <v>236</v>
      </c>
    </row>
    <row r="50" spans="1:1020" x14ac:dyDescent="0.25">
      <c r="A50" s="196"/>
      <c r="B50" s="178" t="s">
        <v>179</v>
      </c>
      <c r="C50" s="171" t="s">
        <v>27</v>
      </c>
      <c r="D50" s="215" t="s">
        <v>180</v>
      </c>
      <c r="E50" s="215" t="s">
        <v>181</v>
      </c>
    </row>
    <row r="51" spans="1:1020" ht="16.5" x14ac:dyDescent="0.25">
      <c r="A51" s="200" t="s">
        <v>3</v>
      </c>
      <c r="B51" s="226" t="s">
        <v>237</v>
      </c>
      <c r="C51" s="191">
        <f>((7/30)/12)</f>
        <v>1.9444444444444445E-2</v>
      </c>
      <c r="D51" s="190" t="s">
        <v>238</v>
      </c>
      <c r="E51" s="227" t="s">
        <v>239</v>
      </c>
    </row>
    <row r="52" spans="1:1020" x14ac:dyDescent="0.25">
      <c r="A52" s="200" t="s">
        <v>5</v>
      </c>
      <c r="B52" s="226" t="s">
        <v>82</v>
      </c>
      <c r="C52" s="191">
        <f>C51*C25</f>
        <v>7.7388888888888898E-3</v>
      </c>
      <c r="D52" s="186" t="s">
        <v>240</v>
      </c>
      <c r="E52" s="190"/>
    </row>
    <row r="53" spans="1:1020" ht="16.5" x14ac:dyDescent="0.25">
      <c r="A53" s="200" t="s">
        <v>8</v>
      </c>
      <c r="B53" s="226" t="s">
        <v>241</v>
      </c>
      <c r="C53" s="228">
        <f>0.08*0.5*0.9*(1+(1/12)+(1/12+1/3*1/12))</f>
        <v>4.3000000000000003E-2</v>
      </c>
      <c r="D53" s="229" t="s">
        <v>242</v>
      </c>
      <c r="E53" s="230" t="s">
        <v>243</v>
      </c>
    </row>
    <row r="54" spans="1:1020" x14ac:dyDescent="0.25">
      <c r="A54" s="187"/>
      <c r="B54" s="226" t="s">
        <v>244</v>
      </c>
      <c r="C54" s="193"/>
      <c r="D54" s="231"/>
      <c r="E54" s="232"/>
    </row>
    <row r="55" spans="1:1020" x14ac:dyDescent="0.25">
      <c r="A55" s="170"/>
      <c r="B55" s="222"/>
      <c r="C55" s="233"/>
      <c r="D55" s="234"/>
      <c r="E55" s="231"/>
    </row>
    <row r="56" spans="1:1020" ht="44.45" customHeight="1" x14ac:dyDescent="0.25">
      <c r="A56" s="170"/>
      <c r="B56" s="322" t="s">
        <v>245</v>
      </c>
      <c r="C56" s="322"/>
      <c r="D56" s="322"/>
      <c r="E56" s="322"/>
    </row>
    <row r="57" spans="1:1020" ht="34.9" customHeight="1" x14ac:dyDescent="0.25">
      <c r="A57" s="170"/>
      <c r="B57" s="322" t="s">
        <v>246</v>
      </c>
      <c r="C57" s="322"/>
      <c r="D57" s="322"/>
      <c r="E57" s="322"/>
    </row>
    <row r="58" spans="1:1020" x14ac:dyDescent="0.25">
      <c r="A58" s="170"/>
      <c r="B58" s="222"/>
      <c r="C58" s="233"/>
      <c r="D58" s="231"/>
      <c r="E58" s="231"/>
    </row>
    <row r="59" spans="1:1020" x14ac:dyDescent="0.25">
      <c r="A59" s="170"/>
      <c r="B59" s="222"/>
      <c r="C59" s="233"/>
      <c r="D59" s="231"/>
      <c r="E59" s="231"/>
    </row>
    <row r="60" spans="1:1020" s="235" customFormat="1" x14ac:dyDescent="0.25">
      <c r="A60" s="168"/>
      <c r="B60" s="169" t="s">
        <v>247</v>
      </c>
      <c r="C60" s="174"/>
      <c r="D60" s="174"/>
      <c r="E60" s="174"/>
      <c r="F60" s="168"/>
      <c r="J60" s="168"/>
      <c r="O60" s="168"/>
      <c r="T60" s="168"/>
      <c r="Y60" s="168"/>
      <c r="AD60" s="168"/>
      <c r="AI60" s="168"/>
      <c r="AN60" s="168"/>
      <c r="AS60" s="168"/>
      <c r="AX60" s="168"/>
      <c r="BC60" s="168"/>
      <c r="BH60" s="168"/>
      <c r="BM60" s="168"/>
      <c r="BR60" s="168"/>
      <c r="BW60" s="168"/>
      <c r="CB60" s="168"/>
      <c r="CG60" s="168"/>
      <c r="CL60" s="168"/>
      <c r="CQ60" s="168"/>
      <c r="CV60" s="168"/>
      <c r="DA60" s="168"/>
      <c r="DF60" s="168"/>
      <c r="DK60" s="168"/>
      <c r="DP60" s="168"/>
      <c r="DU60" s="168"/>
      <c r="DZ60" s="168"/>
      <c r="EE60" s="168"/>
      <c r="EJ60" s="168"/>
      <c r="EO60" s="168"/>
      <c r="ET60" s="168"/>
      <c r="EY60" s="168"/>
      <c r="FD60" s="168"/>
      <c r="FI60" s="168"/>
      <c r="FN60" s="168"/>
      <c r="FS60" s="168"/>
      <c r="FX60" s="168"/>
      <c r="GC60" s="168"/>
      <c r="GH60" s="168"/>
      <c r="GM60" s="168"/>
      <c r="GR60" s="168"/>
      <c r="GW60" s="168"/>
      <c r="HB60" s="168"/>
      <c r="HG60" s="168"/>
      <c r="HL60" s="168"/>
      <c r="HQ60" s="168"/>
      <c r="HV60" s="168"/>
      <c r="IA60" s="168"/>
      <c r="IF60" s="168"/>
      <c r="IK60" s="168"/>
      <c r="IP60" s="168"/>
      <c r="IU60" s="168"/>
      <c r="IZ60" s="168"/>
      <c r="JE60" s="168"/>
      <c r="JJ60" s="168"/>
      <c r="JO60" s="168"/>
      <c r="JT60" s="168"/>
      <c r="JY60" s="168"/>
      <c r="KD60" s="168"/>
      <c r="KI60" s="168"/>
      <c r="KN60" s="168"/>
      <c r="KS60" s="168"/>
      <c r="KX60" s="168"/>
      <c r="LC60" s="168"/>
      <c r="LH60" s="168"/>
      <c r="LM60" s="168"/>
      <c r="LR60" s="168"/>
      <c r="LW60" s="168"/>
      <c r="MB60" s="168"/>
      <c r="MG60" s="168"/>
      <c r="ML60" s="168"/>
      <c r="MQ60" s="168"/>
      <c r="MV60" s="168"/>
      <c r="NA60" s="168"/>
      <c r="NF60" s="168"/>
      <c r="NK60" s="168"/>
      <c r="NP60" s="168"/>
      <c r="NU60" s="168"/>
      <c r="NZ60" s="168"/>
      <c r="OE60" s="168"/>
      <c r="OJ60" s="168"/>
      <c r="OO60" s="168"/>
      <c r="OT60" s="168"/>
      <c r="OY60" s="168"/>
      <c r="PD60" s="168"/>
      <c r="PI60" s="168"/>
      <c r="PN60" s="168"/>
      <c r="PS60" s="168"/>
      <c r="PX60" s="168"/>
      <c r="QC60" s="168"/>
      <c r="QH60" s="168"/>
      <c r="QM60" s="168"/>
      <c r="QR60" s="168"/>
      <c r="QW60" s="168"/>
      <c r="RB60" s="168"/>
      <c r="RG60" s="168"/>
      <c r="RL60" s="168"/>
      <c r="RQ60" s="168"/>
      <c r="RV60" s="168"/>
      <c r="SA60" s="168"/>
      <c r="SF60" s="168"/>
      <c r="SK60" s="168"/>
      <c r="SP60" s="168"/>
      <c r="SU60" s="168"/>
      <c r="SZ60" s="168"/>
      <c r="TE60" s="168"/>
      <c r="TJ60" s="168"/>
      <c r="TO60" s="168"/>
      <c r="TT60" s="168"/>
      <c r="TY60" s="168"/>
      <c r="UD60" s="168"/>
      <c r="UI60" s="168"/>
      <c r="UN60" s="168"/>
      <c r="US60" s="168"/>
      <c r="UX60" s="168"/>
      <c r="VC60" s="168"/>
      <c r="VH60" s="168"/>
      <c r="VM60" s="168"/>
      <c r="VR60" s="168"/>
      <c r="VW60" s="168"/>
      <c r="WB60" s="168"/>
      <c r="WG60" s="168"/>
      <c r="WL60" s="168"/>
      <c r="WQ60" s="168"/>
      <c r="WV60" s="168"/>
      <c r="XA60" s="168"/>
      <c r="XF60" s="168"/>
      <c r="XK60" s="168"/>
      <c r="XP60" s="168"/>
      <c r="XU60" s="168"/>
      <c r="XZ60" s="168"/>
      <c r="YE60" s="168"/>
      <c r="YJ60" s="168"/>
      <c r="YO60" s="168"/>
      <c r="YT60" s="168"/>
      <c r="YY60" s="168"/>
      <c r="ZD60" s="168"/>
      <c r="ZI60" s="168"/>
      <c r="ZN60" s="168"/>
      <c r="ZS60" s="168"/>
      <c r="ZX60" s="168"/>
      <c r="AAC60" s="168"/>
      <c r="AAH60" s="168"/>
      <c r="AAM60" s="168"/>
      <c r="AAR60" s="168"/>
      <c r="AAW60" s="168"/>
      <c r="ABB60" s="168"/>
      <c r="ABG60" s="168"/>
      <c r="ABL60" s="168"/>
      <c r="ABQ60" s="168"/>
      <c r="ABV60" s="168"/>
      <c r="ACA60" s="168"/>
      <c r="ACF60" s="168"/>
      <c r="ACK60" s="168"/>
      <c r="ACP60" s="168"/>
      <c r="ACU60" s="168"/>
      <c r="ACZ60" s="168"/>
      <c r="ADE60" s="168"/>
      <c r="ADJ60" s="168"/>
      <c r="ADO60" s="168"/>
      <c r="ADT60" s="168"/>
      <c r="ADY60" s="168"/>
      <c r="AED60" s="168"/>
      <c r="AEI60" s="168"/>
      <c r="AEN60" s="168"/>
      <c r="AES60" s="168"/>
      <c r="AEX60" s="168"/>
      <c r="AFC60" s="168"/>
      <c r="AFH60" s="168"/>
      <c r="AFM60" s="168"/>
      <c r="AFR60" s="168"/>
      <c r="AFW60" s="168"/>
      <c r="AGB60" s="168"/>
      <c r="AGG60" s="168"/>
      <c r="AGL60" s="168"/>
      <c r="AGQ60" s="168"/>
      <c r="AGV60" s="168"/>
      <c r="AHA60" s="168"/>
      <c r="AHF60" s="168"/>
      <c r="AHK60" s="168"/>
      <c r="AHP60" s="168"/>
      <c r="AHU60" s="168"/>
      <c r="AHZ60" s="168"/>
      <c r="AIE60" s="168"/>
      <c r="AIJ60" s="168"/>
      <c r="AIO60" s="168"/>
      <c r="AIT60" s="168"/>
      <c r="AIY60" s="168"/>
      <c r="AJD60" s="168"/>
      <c r="AJI60" s="168"/>
      <c r="AJN60" s="168"/>
      <c r="AJS60" s="168"/>
      <c r="AJX60" s="168"/>
      <c r="AKC60" s="168"/>
      <c r="AKH60" s="168"/>
      <c r="AKM60" s="168"/>
      <c r="AKR60" s="168"/>
      <c r="AKW60" s="168"/>
      <c r="ALB60" s="168"/>
      <c r="ALG60" s="168"/>
      <c r="ALL60" s="168"/>
      <c r="ALQ60" s="168"/>
      <c r="ALV60" s="168"/>
      <c r="AMA60" s="168"/>
      <c r="AMF60" s="168"/>
    </row>
    <row r="61" spans="1:1020" x14ac:dyDescent="0.25">
      <c r="A61" s="236"/>
      <c r="B61" s="236"/>
      <c r="C61" s="236"/>
      <c r="D61" s="236"/>
      <c r="E61" s="236"/>
    </row>
    <row r="62" spans="1:1020" x14ac:dyDescent="0.25">
      <c r="B62" s="169" t="s">
        <v>93</v>
      </c>
      <c r="C62" s="237"/>
      <c r="D62" s="237"/>
      <c r="E62" s="237"/>
    </row>
    <row r="63" spans="1:1020" x14ac:dyDescent="0.25">
      <c r="A63" s="196"/>
      <c r="B63" s="178" t="s">
        <v>179</v>
      </c>
      <c r="C63" s="171" t="s">
        <v>27</v>
      </c>
      <c r="D63" s="215" t="s">
        <v>180</v>
      </c>
      <c r="E63" s="215" t="s">
        <v>181</v>
      </c>
    </row>
    <row r="64" spans="1:1020" x14ac:dyDescent="0.25">
      <c r="A64" s="200" t="s">
        <v>3</v>
      </c>
      <c r="B64" s="182" t="s">
        <v>248</v>
      </c>
      <c r="C64" s="191">
        <f>1/12</f>
        <v>8.3333333333333329E-2</v>
      </c>
      <c r="D64" s="192"/>
      <c r="E64" s="227" t="s">
        <v>249</v>
      </c>
      <c r="G64" s="238"/>
    </row>
    <row r="65" spans="1:12" x14ac:dyDescent="0.25">
      <c r="A65" s="200" t="s">
        <v>5</v>
      </c>
      <c r="B65" s="182" t="s">
        <v>95</v>
      </c>
      <c r="C65" s="191">
        <f>C64*C25</f>
        <v>3.3166666666666664E-2</v>
      </c>
      <c r="D65" s="192"/>
      <c r="E65" s="190"/>
    </row>
    <row r="66" spans="1:12" ht="16.5" x14ac:dyDescent="0.25">
      <c r="A66" s="200" t="s">
        <v>8</v>
      </c>
      <c r="B66" s="182" t="s">
        <v>250</v>
      </c>
      <c r="C66" s="239">
        <f>(1/30)/12</f>
        <v>2.7777777777777779E-3</v>
      </c>
      <c r="D66" s="190" t="s">
        <v>251</v>
      </c>
      <c r="E66" s="190" t="s">
        <v>252</v>
      </c>
      <c r="I66" s="225"/>
    </row>
    <row r="67" spans="1:12" ht="75" customHeight="1" x14ac:dyDescent="0.25">
      <c r="A67" s="200" t="s">
        <v>11</v>
      </c>
      <c r="B67" s="182" t="s">
        <v>253</v>
      </c>
      <c r="C67" s="239">
        <f>(((0.1344*2+0.0305*2*(252/365)+0.0118*3+0.02*1+0.004*1+0.0016*6)/30)/12)</f>
        <v>1.0553196347031963E-3</v>
      </c>
      <c r="D67" s="219" t="s">
        <v>254</v>
      </c>
      <c r="E67" s="190" t="s">
        <v>255</v>
      </c>
      <c r="I67" s="225"/>
    </row>
    <row r="68" spans="1:12" ht="16.5" x14ac:dyDescent="0.25">
      <c r="A68" s="200" t="s">
        <v>33</v>
      </c>
      <c r="B68" s="182" t="s">
        <v>256</v>
      </c>
      <c r="C68" s="239">
        <f>((1*5*(252/365))/30)/12</f>
        <v>9.5890410958904115E-3</v>
      </c>
      <c r="D68" s="190" t="s">
        <v>257</v>
      </c>
      <c r="E68" s="190" t="s">
        <v>258</v>
      </c>
      <c r="I68" s="225"/>
    </row>
    <row r="69" spans="1:12" ht="30" x14ac:dyDescent="0.25">
      <c r="A69" s="200" t="s">
        <v>35</v>
      </c>
      <c r="B69" s="182" t="s">
        <v>259</v>
      </c>
      <c r="C69" s="239">
        <f>((5/30)/12)*0.0143*(252/365)</f>
        <v>1.3712328767123287E-4</v>
      </c>
      <c r="D69" s="190" t="s">
        <v>260</v>
      </c>
      <c r="E69" s="190" t="s">
        <v>261</v>
      </c>
      <c r="I69" s="225"/>
    </row>
    <row r="70" spans="1:12" ht="16.5" x14ac:dyDescent="0.25">
      <c r="A70" s="200" t="s">
        <v>37</v>
      </c>
      <c r="B70" s="182" t="s">
        <v>262</v>
      </c>
      <c r="C70" s="239">
        <f>((15/30)/12*(0.0922*(252/365)))</f>
        <v>2.6523287671232879E-3</v>
      </c>
      <c r="D70" s="190" t="s">
        <v>263</v>
      </c>
      <c r="E70" s="190" t="s">
        <v>264</v>
      </c>
      <c r="H70" s="238"/>
      <c r="I70" s="225"/>
    </row>
    <row r="71" spans="1:12" ht="45" x14ac:dyDescent="0.25">
      <c r="A71" s="200" t="s">
        <v>55</v>
      </c>
      <c r="B71" s="182" t="s">
        <v>265</v>
      </c>
      <c r="C71" s="239">
        <f>((1+(1/3))*((4/12))/12*(0.0197*(252/365)))</f>
        <v>5.0374429223744288E-4</v>
      </c>
      <c r="D71" s="190" t="s">
        <v>266</v>
      </c>
      <c r="E71" s="227" t="s">
        <v>267</v>
      </c>
    </row>
    <row r="72" spans="1:12" ht="39" customHeight="1" x14ac:dyDescent="0.25">
      <c r="A72" s="200" t="s">
        <v>102</v>
      </c>
      <c r="B72" s="182" t="s">
        <v>103</v>
      </c>
      <c r="C72" s="191">
        <f>SUM(C66:C71)*C25</f>
        <v>6.6527032724505338E-3</v>
      </c>
      <c r="D72" s="190"/>
      <c r="E72" s="227"/>
      <c r="H72" s="240"/>
    </row>
    <row r="73" spans="1:12" x14ac:dyDescent="0.25">
      <c r="A73" s="187"/>
      <c r="B73" s="188" t="s">
        <v>268</v>
      </c>
      <c r="C73" s="193"/>
      <c r="D73" s="232"/>
      <c r="E73" s="232"/>
      <c r="H73" s="240"/>
    </row>
    <row r="74" spans="1:12" x14ac:dyDescent="0.25">
      <c r="A74" s="241"/>
      <c r="B74" s="242"/>
      <c r="C74" s="242"/>
      <c r="D74" s="242"/>
      <c r="E74" s="242"/>
    </row>
    <row r="75" spans="1:12" ht="66.75" customHeight="1" x14ac:dyDescent="0.25">
      <c r="A75" s="242"/>
      <c r="B75" s="314" t="s">
        <v>269</v>
      </c>
      <c r="C75" s="314"/>
      <c r="D75" s="314"/>
      <c r="E75" s="314"/>
      <c r="G75" s="243"/>
      <c r="H75" s="220"/>
      <c r="L75" s="244"/>
    </row>
    <row r="76" spans="1:12" ht="76.5" customHeight="1" x14ac:dyDescent="0.25">
      <c r="A76" s="170"/>
      <c r="B76" s="314" t="s">
        <v>270</v>
      </c>
      <c r="C76" s="314"/>
      <c r="D76" s="314"/>
      <c r="E76" s="314"/>
      <c r="H76" s="220"/>
    </row>
    <row r="77" spans="1:12" ht="48.6" customHeight="1" x14ac:dyDescent="0.25">
      <c r="A77" s="170"/>
      <c r="B77" s="314" t="s">
        <v>271</v>
      </c>
      <c r="C77" s="314"/>
      <c r="D77" s="314"/>
      <c r="E77" s="314"/>
      <c r="G77" s="220"/>
      <c r="I77" s="245"/>
    </row>
    <row r="78" spans="1:12" ht="83.45" customHeight="1" x14ac:dyDescent="0.25">
      <c r="A78" s="170"/>
      <c r="B78" s="314" t="s">
        <v>272</v>
      </c>
      <c r="C78" s="314"/>
      <c r="D78" s="314"/>
      <c r="E78" s="314"/>
      <c r="K78" s="246"/>
    </row>
    <row r="79" spans="1:12" ht="68.25" customHeight="1" x14ac:dyDescent="0.25">
      <c r="A79" s="170"/>
      <c r="B79" s="314" t="s">
        <v>273</v>
      </c>
      <c r="C79" s="314"/>
      <c r="D79" s="314"/>
      <c r="E79" s="314"/>
    </row>
    <row r="80" spans="1:12" ht="90" customHeight="1" x14ac:dyDescent="0.25">
      <c r="B80" s="314" t="s">
        <v>274</v>
      </c>
      <c r="C80" s="314"/>
      <c r="D80" s="314"/>
      <c r="E80" s="314"/>
      <c r="L80" s="244"/>
    </row>
    <row r="81" spans="1:12" x14ac:dyDescent="0.25">
      <c r="A81" s="170"/>
      <c r="B81" s="172"/>
      <c r="C81" s="170"/>
      <c r="D81" s="170"/>
      <c r="E81" s="170"/>
    </row>
    <row r="82" spans="1:12" x14ac:dyDescent="0.25">
      <c r="A82" s="170"/>
      <c r="B82" s="172"/>
      <c r="C82" s="170"/>
      <c r="D82" s="170"/>
      <c r="E82" s="170"/>
      <c r="G82" s="225"/>
    </row>
    <row r="83" spans="1:12" x14ac:dyDescent="0.25">
      <c r="A83" s="247"/>
      <c r="B83" s="169" t="s">
        <v>105</v>
      </c>
      <c r="C83" s="237"/>
      <c r="D83" s="237"/>
      <c r="E83" s="237"/>
      <c r="H83" s="248"/>
    </row>
    <row r="84" spans="1:12" ht="16.149999999999999" customHeight="1" x14ac:dyDescent="0.25">
      <c r="A84" s="196"/>
      <c r="B84" s="178" t="s">
        <v>179</v>
      </c>
      <c r="C84" s="171" t="s">
        <v>27</v>
      </c>
      <c r="D84" s="215" t="s">
        <v>180</v>
      </c>
      <c r="E84" s="215" t="s">
        <v>181</v>
      </c>
    </row>
    <row r="85" spans="1:12" x14ac:dyDescent="0.25">
      <c r="A85" s="200" t="s">
        <v>3</v>
      </c>
      <c r="B85" s="182" t="s">
        <v>106</v>
      </c>
      <c r="C85" s="191" t="s">
        <v>193</v>
      </c>
      <c r="D85" s="192"/>
      <c r="E85" s="190"/>
      <c r="L85" s="244"/>
    </row>
    <row r="86" spans="1:12" x14ac:dyDescent="0.25">
      <c r="A86" s="200" t="s">
        <v>5</v>
      </c>
      <c r="B86" s="182" t="s">
        <v>107</v>
      </c>
      <c r="C86" s="191" t="s">
        <v>193</v>
      </c>
      <c r="D86" s="192"/>
      <c r="E86" s="190"/>
    </row>
    <row r="87" spans="1:12" x14ac:dyDescent="0.25">
      <c r="A87" s="187"/>
      <c r="B87" s="188" t="s">
        <v>275</v>
      </c>
      <c r="C87" s="193" t="s">
        <v>193</v>
      </c>
      <c r="D87" s="232"/>
      <c r="E87" s="232"/>
    </row>
    <row r="88" spans="1:12" x14ac:dyDescent="0.25">
      <c r="B88" s="169"/>
      <c r="D88" s="170"/>
      <c r="E88" s="170"/>
    </row>
    <row r="89" spans="1:12" ht="28.5" customHeight="1" x14ac:dyDescent="0.25">
      <c r="B89" s="169"/>
      <c r="F89" s="328" t="s">
        <v>276</v>
      </c>
      <c r="G89" s="328"/>
      <c r="H89" s="328"/>
      <c r="I89" s="328"/>
    </row>
    <row r="90" spans="1:12" x14ac:dyDescent="0.25">
      <c r="B90" s="169" t="s">
        <v>277</v>
      </c>
      <c r="F90" s="202"/>
      <c r="G90" s="202"/>
      <c r="H90" s="202"/>
      <c r="I90" s="203"/>
      <c r="L90" s="244"/>
    </row>
    <row r="91" spans="1:12" ht="15.75" customHeight="1" x14ac:dyDescent="0.25">
      <c r="A91" s="249"/>
      <c r="B91" s="250" t="s">
        <v>179</v>
      </c>
      <c r="C91" s="329" t="s">
        <v>191</v>
      </c>
      <c r="D91" s="329"/>
      <c r="E91" s="179" t="s">
        <v>181</v>
      </c>
      <c r="F91" s="210" t="s">
        <v>213</v>
      </c>
      <c r="G91" s="210" t="s">
        <v>278</v>
      </c>
      <c r="H91" s="203"/>
      <c r="I91" s="203" t="s">
        <v>279</v>
      </c>
      <c r="J91" s="225"/>
      <c r="K91" s="251"/>
    </row>
    <row r="92" spans="1:12" ht="39.75" customHeight="1" x14ac:dyDescent="0.25">
      <c r="A92" s="323" t="s">
        <v>3</v>
      </c>
      <c r="B92" s="324" t="s">
        <v>280</v>
      </c>
      <c r="C92" s="252">
        <f>I92</f>
        <v>64.825000000000003</v>
      </c>
      <c r="D92" s="253" t="s">
        <v>142</v>
      </c>
      <c r="E92" s="325" t="s">
        <v>222</v>
      </c>
      <c r="F92" s="203">
        <v>67.5</v>
      </c>
      <c r="G92" s="203">
        <v>62.15</v>
      </c>
      <c r="H92" s="203"/>
      <c r="I92" s="203">
        <f>SUM(F92:G92)/2</f>
        <v>64.825000000000003</v>
      </c>
    </row>
    <row r="93" spans="1:12" s="170" customFormat="1" ht="56.25" customHeight="1" x14ac:dyDescent="0.25">
      <c r="A93" s="323"/>
      <c r="B93" s="324"/>
      <c r="C93" s="254"/>
      <c r="D93" s="253"/>
      <c r="E93" s="325"/>
      <c r="F93" s="203"/>
      <c r="G93" s="203"/>
      <c r="H93" s="203"/>
      <c r="I93" s="203"/>
    </row>
    <row r="94" spans="1:12" x14ac:dyDescent="0.25">
      <c r="A94" s="216" t="s">
        <v>5</v>
      </c>
      <c r="B94" s="255" t="s">
        <v>117</v>
      </c>
      <c r="C94" s="256"/>
      <c r="D94" s="257"/>
      <c r="E94" s="258"/>
      <c r="F94" s="326"/>
      <c r="G94" s="326"/>
      <c r="H94" s="326"/>
      <c r="I94" s="259"/>
      <c r="J94" s="170"/>
      <c r="K94" s="260"/>
    </row>
    <row r="95" spans="1:12" x14ac:dyDescent="0.25">
      <c r="A95" s="221"/>
      <c r="B95" s="261"/>
      <c r="C95" s="262" t="s">
        <v>281</v>
      </c>
      <c r="D95" s="262"/>
      <c r="E95" s="263"/>
      <c r="L95" s="244"/>
    </row>
    <row r="96" spans="1:12" x14ac:dyDescent="0.25">
      <c r="A96" s="170"/>
      <c r="B96" s="264"/>
      <c r="C96" s="233"/>
    </row>
    <row r="97" spans="2:12" x14ac:dyDescent="0.25">
      <c r="B97" s="265" t="s">
        <v>282</v>
      </c>
      <c r="C97" s="266"/>
      <c r="D97" s="266"/>
      <c r="E97" s="267"/>
    </row>
    <row r="98" spans="2:12" x14ac:dyDescent="0.25">
      <c r="B98" s="268"/>
      <c r="C98" s="266"/>
      <c r="D98" s="266"/>
      <c r="E98" s="267"/>
    </row>
    <row r="99" spans="2:12" x14ac:dyDescent="0.25">
      <c r="B99" s="269" t="s">
        <v>283</v>
      </c>
      <c r="C99" s="170"/>
      <c r="D99" s="170"/>
      <c r="E99" s="270"/>
    </row>
    <row r="100" spans="2:12" x14ac:dyDescent="0.25">
      <c r="B100" s="271"/>
      <c r="C100" s="170"/>
      <c r="D100" s="170"/>
      <c r="E100" s="270"/>
      <c r="L100" s="244"/>
    </row>
    <row r="101" spans="2:12" ht="76.150000000000006" customHeight="1" x14ac:dyDescent="0.25">
      <c r="B101" s="327" t="s">
        <v>284</v>
      </c>
      <c r="C101" s="327"/>
      <c r="D101" s="327"/>
      <c r="E101" s="327"/>
    </row>
    <row r="102" spans="2:12" x14ac:dyDescent="0.25">
      <c r="B102" s="269"/>
      <c r="C102" s="170"/>
      <c r="D102" s="170"/>
      <c r="E102" s="270"/>
    </row>
    <row r="103" spans="2:12" x14ac:dyDescent="0.25">
      <c r="B103" s="269" t="s">
        <v>285</v>
      </c>
      <c r="C103" s="170"/>
      <c r="D103" s="170"/>
      <c r="E103" s="270"/>
    </row>
    <row r="104" spans="2:12" ht="41.25" customHeight="1" x14ac:dyDescent="0.25">
      <c r="B104" s="327" t="s">
        <v>286</v>
      </c>
      <c r="C104" s="327"/>
      <c r="D104" s="327"/>
      <c r="E104" s="327"/>
    </row>
    <row r="105" spans="2:12" ht="28.9" customHeight="1" x14ac:dyDescent="0.25">
      <c r="B105" s="327" t="s">
        <v>287</v>
      </c>
      <c r="C105" s="327"/>
      <c r="D105" s="327"/>
      <c r="E105" s="327"/>
      <c r="L105" s="244"/>
    </row>
    <row r="106" spans="2:12" ht="25.5" customHeight="1" x14ac:dyDescent="0.25">
      <c r="B106" s="215" t="s">
        <v>179</v>
      </c>
      <c r="C106" s="178" t="s">
        <v>27</v>
      </c>
      <c r="D106" s="174"/>
      <c r="E106" s="272"/>
    </row>
    <row r="107" spans="2:12" ht="40.5" customHeight="1" x14ac:dyDescent="0.25">
      <c r="B107" s="273" t="s">
        <v>288</v>
      </c>
      <c r="C107" s="191">
        <v>0.03</v>
      </c>
      <c r="D107" s="174"/>
      <c r="E107" s="272"/>
    </row>
    <row r="108" spans="2:12" ht="25.5" customHeight="1" x14ac:dyDescent="0.25">
      <c r="B108" s="273" t="s">
        <v>289</v>
      </c>
      <c r="C108" s="191">
        <v>6.7900000000000002E-2</v>
      </c>
      <c r="D108" s="174"/>
      <c r="E108" s="272"/>
    </row>
    <row r="109" spans="2:12" ht="25.5" customHeight="1" x14ac:dyDescent="0.25">
      <c r="B109" s="273" t="s">
        <v>290</v>
      </c>
      <c r="C109" s="191"/>
      <c r="D109" s="174"/>
      <c r="E109" s="272"/>
    </row>
    <row r="110" spans="2:12" ht="39" customHeight="1" x14ac:dyDescent="0.25">
      <c r="B110" s="273" t="s">
        <v>126</v>
      </c>
      <c r="C110" s="239">
        <f>1.65%+7.6%</f>
        <v>9.2499999999999999E-2</v>
      </c>
      <c r="D110" s="174"/>
      <c r="E110" s="272"/>
      <c r="L110" s="244"/>
    </row>
    <row r="111" spans="2:12" ht="25.5" customHeight="1" x14ac:dyDescent="0.25">
      <c r="B111" s="273" t="s">
        <v>291</v>
      </c>
      <c r="C111" s="191"/>
      <c r="D111" s="174"/>
      <c r="E111" s="272"/>
    </row>
    <row r="112" spans="2:12" ht="25.5" customHeight="1" x14ac:dyDescent="0.25">
      <c r="B112" s="273" t="s">
        <v>128</v>
      </c>
      <c r="C112" s="191">
        <v>0.05</v>
      </c>
      <c r="D112" s="174"/>
      <c r="E112" s="272"/>
    </row>
    <row r="113" spans="2:12" x14ac:dyDescent="0.25">
      <c r="B113" s="274"/>
      <c r="C113" s="170"/>
      <c r="D113" s="170"/>
      <c r="E113" s="270"/>
    </row>
    <row r="114" spans="2:12" x14ac:dyDescent="0.25">
      <c r="B114" s="274" t="s">
        <v>292</v>
      </c>
      <c r="C114" s="170"/>
      <c r="D114" s="170"/>
      <c r="E114" s="270"/>
    </row>
    <row r="115" spans="2:12" ht="28.5" x14ac:dyDescent="0.25">
      <c r="B115" s="275" t="s">
        <v>293</v>
      </c>
      <c r="C115" s="276"/>
      <c r="D115" s="276"/>
      <c r="E115" s="277"/>
      <c r="L115" s="244"/>
    </row>
    <row r="120" spans="2:12" x14ac:dyDescent="0.25">
      <c r="L120" s="244"/>
    </row>
    <row r="124" spans="2:12" x14ac:dyDescent="0.25">
      <c r="B124" s="278"/>
    </row>
    <row r="125" spans="2:12" x14ac:dyDescent="0.25">
      <c r="B125" s="278"/>
      <c r="L125" s="244"/>
    </row>
    <row r="126" spans="2:12" x14ac:dyDescent="0.25">
      <c r="B126" s="278"/>
    </row>
    <row r="127" spans="2:12" x14ac:dyDescent="0.25">
      <c r="B127" s="278"/>
    </row>
    <row r="128" spans="2:12" x14ac:dyDescent="0.25">
      <c r="B128" s="278"/>
    </row>
    <row r="129" spans="2:12" x14ac:dyDescent="0.25">
      <c r="B129" s="278"/>
      <c r="C129" s="279"/>
    </row>
    <row r="130" spans="2:12" x14ac:dyDescent="0.25">
      <c r="B130" s="278"/>
      <c r="C130" s="279"/>
      <c r="L130" s="244"/>
    </row>
    <row r="131" spans="2:12" x14ac:dyDescent="0.25">
      <c r="B131" s="278"/>
      <c r="C131" s="279"/>
    </row>
    <row r="132" spans="2:12" x14ac:dyDescent="0.25">
      <c r="B132" s="278"/>
    </row>
    <row r="133" spans="2:12" x14ac:dyDescent="0.25">
      <c r="B133" s="278"/>
    </row>
    <row r="134" spans="2:12" x14ac:dyDescent="0.25">
      <c r="B134" s="278"/>
    </row>
    <row r="135" spans="2:12" x14ac:dyDescent="0.25">
      <c r="B135" s="278"/>
    </row>
    <row r="136" spans="2:12" x14ac:dyDescent="0.25">
      <c r="B136" s="278"/>
    </row>
  </sheetData>
  <mergeCells count="34">
    <mergeCell ref="F94:H94"/>
    <mergeCell ref="B101:E101"/>
    <mergeCell ref="B104:E104"/>
    <mergeCell ref="B105:E105"/>
    <mergeCell ref="F89:I89"/>
    <mergeCell ref="C91:D91"/>
    <mergeCell ref="A92:A93"/>
    <mergeCell ref="B92:B93"/>
    <mergeCell ref="E92:E93"/>
    <mergeCell ref="B76:E76"/>
    <mergeCell ref="B77:E77"/>
    <mergeCell ref="B78:E78"/>
    <mergeCell ref="B79:E79"/>
    <mergeCell ref="B80:E80"/>
    <mergeCell ref="B46:E46"/>
    <mergeCell ref="B47:E47"/>
    <mergeCell ref="B56:E56"/>
    <mergeCell ref="B57:E57"/>
    <mergeCell ref="B75:E75"/>
    <mergeCell ref="C32:D32"/>
    <mergeCell ref="C33:D33"/>
    <mergeCell ref="C34:D34"/>
    <mergeCell ref="C35:D35"/>
    <mergeCell ref="C36:D36"/>
    <mergeCell ref="F28:N28"/>
    <mergeCell ref="F29:I29"/>
    <mergeCell ref="K29:N29"/>
    <mergeCell ref="C30:D30"/>
    <mergeCell ref="C31:D31"/>
    <mergeCell ref="A2:C2"/>
    <mergeCell ref="A3:B3"/>
    <mergeCell ref="A4:B4"/>
    <mergeCell ref="B26:E26"/>
    <mergeCell ref="B27:E27"/>
  </mergeCells>
  <hyperlinks>
    <hyperlink ref="E53" r:id="rId1" xr:uid="{00000000-0004-0000-02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MOTORISTA</vt:lpstr>
      <vt:lpstr>CUSTO DE DESLOCAMENTO DIÁRIO </vt:lpstr>
      <vt:lpstr>Memoria de Cálculo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2</cp:revision>
  <cp:lastPrinted>2019-04-09T17:50:15Z</cp:lastPrinted>
  <dcterms:created xsi:type="dcterms:W3CDTF">2010-12-08T17:56:29Z</dcterms:created>
  <dcterms:modified xsi:type="dcterms:W3CDTF">2022-10-05T13:41:23Z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