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JPI\Desktop\Limpeza\"/>
    </mc:Choice>
  </mc:AlternateContent>
  <xr:revisionPtr revIDLastSave="0" documentId="13_ncr:1_{EC99B5CB-6B48-4CFB-A61C-C0FA3C672C3C}" xr6:coauthVersionLast="47" xr6:coauthVersionMax="47" xr10:uidLastSave="{00000000-0000-0000-0000-000000000000}"/>
  <bookViews>
    <workbookView xWindow="-120" yWindow="-120" windowWidth="29040" windowHeight="15720" xr2:uid="{AFBBDE1A-3A4F-4F68-93F8-E8716551465C}"/>
  </bookViews>
  <sheets>
    <sheet name="POSTO DE TRABALHO" sheetId="1" r:id="rId1"/>
    <sheet name="MEMÓRIA DE CÁLCULO" sheetId="2" r:id="rId2"/>
    <sheet name="MÓDULO 2.3" sheetId="4" r:id="rId3"/>
    <sheet name="MÓDULO 5" sheetId="5" r:id="rId4"/>
    <sheet name="CUSTO DE DESLOCAMENTO DIÁRIO " sheetId="6" r:id="rId5"/>
  </sheets>
  <definedNames>
    <definedName name="_xlnm.Print_Area" localSheetId="0">'POSTO DE TRABALHO'!$A$1:$D$163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5" l="1"/>
  <c r="E23" i="5"/>
  <c r="C48" i="2"/>
  <c r="C59" i="2"/>
  <c r="E6" i="6"/>
  <c r="D13" i="6"/>
  <c r="D8" i="6"/>
  <c r="E7" i="6"/>
  <c r="E8" i="6" s="1"/>
  <c r="F4" i="6"/>
  <c r="F7" i="6" s="1"/>
  <c r="E10" i="6" l="1"/>
  <c r="E12" i="6"/>
  <c r="E11" i="6"/>
  <c r="F6" i="6"/>
  <c r="F8" i="6" s="1"/>
  <c r="F11" i="6" s="1"/>
  <c r="F10" i="6" l="1"/>
  <c r="F12" i="6"/>
  <c r="E13" i="6"/>
  <c r="E14" i="6" s="1"/>
  <c r="E15" i="6" s="1"/>
  <c r="F13" i="6" l="1"/>
  <c r="F14" i="6" s="1"/>
  <c r="F15" i="6" s="1"/>
  <c r="E16" i="6"/>
  <c r="F16" i="6" l="1"/>
  <c r="E27" i="5"/>
  <c r="B27" i="5"/>
  <c r="G13" i="5" l="1"/>
  <c r="G14" i="5"/>
  <c r="G15" i="5"/>
  <c r="G16" i="5"/>
  <c r="G17" i="5"/>
  <c r="G18" i="5"/>
  <c r="H13" i="5"/>
  <c r="H14" i="5"/>
  <c r="H15" i="5"/>
  <c r="I15" i="5" s="1"/>
  <c r="H16" i="5"/>
  <c r="I16" i="5" s="1"/>
  <c r="H17" i="5"/>
  <c r="H18" i="5"/>
  <c r="F13" i="5"/>
  <c r="F14" i="5"/>
  <c r="F15" i="5"/>
  <c r="F16" i="5"/>
  <c r="F17" i="5"/>
  <c r="F18" i="5"/>
  <c r="C4" i="4"/>
  <c r="H11" i="4"/>
  <c r="I11" i="4" s="1"/>
  <c r="G11" i="4"/>
  <c r="C5" i="4" s="1"/>
  <c r="F11" i="4"/>
  <c r="H10" i="4"/>
  <c r="I10" i="4" s="1"/>
  <c r="G10" i="4"/>
  <c r="F10" i="4"/>
  <c r="B126" i="1"/>
  <c r="D102" i="2"/>
  <c r="D101" i="2"/>
  <c r="B39" i="5"/>
  <c r="B40" i="5"/>
  <c r="B38" i="5"/>
  <c r="I17" i="5" l="1"/>
  <c r="I14" i="5"/>
  <c r="I13" i="5"/>
  <c r="I18" i="5"/>
  <c r="B22" i="5"/>
  <c r="B23" i="5"/>
  <c r="B24" i="5"/>
  <c r="B25" i="5"/>
  <c r="B26" i="5"/>
  <c r="B21" i="5"/>
  <c r="N35" i="5" l="1"/>
  <c r="M35" i="5"/>
  <c r="L35" i="5"/>
  <c r="N34" i="5"/>
  <c r="M34" i="5"/>
  <c r="L34" i="5"/>
  <c r="N33" i="5"/>
  <c r="M33" i="5"/>
  <c r="L33" i="5"/>
  <c r="H35" i="5"/>
  <c r="G35" i="5"/>
  <c r="F35" i="5"/>
  <c r="H34" i="5"/>
  <c r="G34" i="5"/>
  <c r="F34" i="5"/>
  <c r="E39" i="5" s="1"/>
  <c r="H33" i="5"/>
  <c r="G33" i="5"/>
  <c r="F33" i="5"/>
  <c r="E38" i="5" s="1"/>
  <c r="E26" i="5"/>
  <c r="N16" i="5"/>
  <c r="M16" i="5"/>
  <c r="L16" i="5"/>
  <c r="N15" i="5"/>
  <c r="M15" i="5"/>
  <c r="L15" i="5"/>
  <c r="N14" i="5"/>
  <c r="M14" i="5"/>
  <c r="L14" i="5"/>
  <c r="N13" i="5"/>
  <c r="M13" i="5"/>
  <c r="L13" i="5"/>
  <c r="N12" i="5"/>
  <c r="M12" i="5"/>
  <c r="L12" i="5"/>
  <c r="E25" i="5"/>
  <c r="E24" i="5"/>
  <c r="E22" i="5"/>
  <c r="H12" i="5"/>
  <c r="G12" i="5"/>
  <c r="F12" i="5"/>
  <c r="E21" i="5" s="1"/>
  <c r="D35" i="2"/>
  <c r="E28" i="5" l="1"/>
  <c r="E29" i="5" s="1"/>
  <c r="C6" i="5" s="1"/>
  <c r="D100" i="2" s="1"/>
  <c r="E41" i="5"/>
  <c r="E42" i="5" s="1"/>
  <c r="C7" i="5" s="1"/>
  <c r="D103" i="2" s="1"/>
  <c r="D126" i="1" s="1"/>
  <c r="I33" i="5"/>
  <c r="I34" i="5"/>
  <c r="I35" i="5"/>
  <c r="I12" i="5"/>
  <c r="D57" i="1"/>
  <c r="D16" i="1" l="1"/>
  <c r="B5" i="4"/>
  <c r="B4" i="4"/>
  <c r="D39" i="2"/>
  <c r="D61" i="1" s="1"/>
  <c r="D37" i="2"/>
  <c r="D59" i="1" s="1"/>
  <c r="C154" i="1"/>
  <c r="C137" i="1"/>
  <c r="C138" i="1"/>
  <c r="C136" i="1"/>
  <c r="C134" i="1"/>
  <c r="C133" i="1"/>
  <c r="B134" i="1"/>
  <c r="B133" i="1"/>
  <c r="B137" i="1"/>
  <c r="B138" i="1"/>
  <c r="B136" i="1"/>
  <c r="C2" i="1"/>
  <c r="D19" i="1" s="1"/>
  <c r="B154" i="1" s="1"/>
  <c r="B124" i="1"/>
  <c r="B125" i="1"/>
  <c r="B123" i="1"/>
  <c r="C111" i="1"/>
  <c r="C112" i="1"/>
  <c r="B112" i="1"/>
  <c r="B111" i="1"/>
  <c r="B106" i="1"/>
  <c r="B99" i="1"/>
  <c r="B100" i="1"/>
  <c r="B101" i="1"/>
  <c r="B102" i="1"/>
  <c r="B103" i="1"/>
  <c r="B104" i="1"/>
  <c r="B105" i="1"/>
  <c r="B98" i="1"/>
  <c r="C77" i="2"/>
  <c r="C105" i="1" s="1"/>
  <c r="C76" i="2"/>
  <c r="C104" i="1" s="1"/>
  <c r="C75" i="2"/>
  <c r="C103" i="1" s="1"/>
  <c r="C74" i="2"/>
  <c r="C102" i="1" s="1"/>
  <c r="C73" i="2"/>
  <c r="C101" i="1" s="1"/>
  <c r="C72" i="2"/>
  <c r="C100" i="1" s="1"/>
  <c r="C70" i="2"/>
  <c r="C98" i="1" s="1"/>
  <c r="B84" i="1"/>
  <c r="B85" i="1"/>
  <c r="B83" i="1"/>
  <c r="C85" i="1"/>
  <c r="C57" i="2"/>
  <c r="B77" i="1"/>
  <c r="B78" i="1"/>
  <c r="B76" i="1"/>
  <c r="C78" i="1"/>
  <c r="C46" i="2"/>
  <c r="B57" i="1"/>
  <c r="D62" i="1"/>
  <c r="D60" i="1"/>
  <c r="D58" i="1"/>
  <c r="B58" i="1"/>
  <c r="B59" i="1"/>
  <c r="B60" i="1"/>
  <c r="B61" i="1"/>
  <c r="B62" i="1"/>
  <c r="C46" i="1"/>
  <c r="C47" i="1"/>
  <c r="C48" i="1"/>
  <c r="C49" i="1"/>
  <c r="C50" i="1"/>
  <c r="C51" i="1"/>
  <c r="C52" i="1"/>
  <c r="C45" i="1"/>
  <c r="B46" i="1"/>
  <c r="B47" i="1"/>
  <c r="B48" i="1"/>
  <c r="B49" i="1"/>
  <c r="B50" i="1"/>
  <c r="B51" i="1"/>
  <c r="B52" i="1"/>
  <c r="B45" i="1"/>
  <c r="C37" i="1"/>
  <c r="C27" i="2"/>
  <c r="C13" i="2"/>
  <c r="C14" i="2" s="1"/>
  <c r="B38" i="1"/>
  <c r="B37" i="1"/>
  <c r="D18" i="1"/>
  <c r="D24" i="1" s="1"/>
  <c r="D31" i="1" s="1"/>
  <c r="D143" i="1" s="1"/>
  <c r="C139" i="1" l="1"/>
  <c r="C71" i="2"/>
  <c r="C99" i="1" s="1"/>
  <c r="D124" i="1"/>
  <c r="D45" i="1"/>
  <c r="C15" i="2"/>
  <c r="C78" i="2"/>
  <c r="C106" i="1" s="1"/>
  <c r="C107" i="1" s="1"/>
  <c r="C58" i="2"/>
  <c r="C84" i="1" s="1"/>
  <c r="D84" i="1" s="1"/>
  <c r="D112" i="1"/>
  <c r="D98" i="1"/>
  <c r="D105" i="1"/>
  <c r="D111" i="1"/>
  <c r="D101" i="1"/>
  <c r="D106" i="1"/>
  <c r="D99" i="1"/>
  <c r="C113" i="1"/>
  <c r="D104" i="1"/>
  <c r="D102" i="1"/>
  <c r="D100" i="1"/>
  <c r="D103" i="1"/>
  <c r="C47" i="2"/>
  <c r="C77" i="1" s="1"/>
  <c r="D77" i="1" s="1"/>
  <c r="C38" i="1"/>
  <c r="D38" i="1" s="1"/>
  <c r="C83" i="1"/>
  <c r="C76" i="1"/>
  <c r="D76" i="1" s="1"/>
  <c r="D85" i="1"/>
  <c r="D78" i="1"/>
  <c r="D52" i="1"/>
  <c r="D51" i="1"/>
  <c r="C53" i="1"/>
  <c r="D63" i="1"/>
  <c r="D50" i="1"/>
  <c r="D48" i="1"/>
  <c r="D47" i="1"/>
  <c r="D49" i="1"/>
  <c r="D46" i="1"/>
  <c r="D37" i="1"/>
  <c r="C60" i="2" l="1"/>
  <c r="C79" i="2"/>
  <c r="D113" i="1"/>
  <c r="D118" i="1" s="1"/>
  <c r="D123" i="1"/>
  <c r="C86" i="1"/>
  <c r="D107" i="1"/>
  <c r="D117" i="1" s="1"/>
  <c r="D83" i="1"/>
  <c r="D86" i="1" s="1"/>
  <c r="D91" i="1" s="1"/>
  <c r="C39" i="1"/>
  <c r="C40" i="1" s="1"/>
  <c r="C41" i="1" s="1"/>
  <c r="C79" i="1"/>
  <c r="C49" i="2"/>
  <c r="D69" i="1"/>
  <c r="D39" i="1"/>
  <c r="D40" i="1" s="1"/>
  <c r="D41" i="1" s="1"/>
  <c r="D67" i="1" s="1"/>
  <c r="D79" i="1"/>
  <c r="D90" i="1" s="1"/>
  <c r="D53" i="1"/>
  <c r="D68" i="1" s="1"/>
  <c r="D119" i="1" l="1"/>
  <c r="D146" i="1" s="1"/>
  <c r="D92" i="1"/>
  <c r="D145" i="1" s="1"/>
  <c r="D70" i="1"/>
  <c r="D144" i="1" s="1"/>
  <c r="D125" i="1" l="1"/>
  <c r="D127" i="1" s="1"/>
  <c r="D147" i="1" l="1"/>
  <c r="D148" i="1" s="1"/>
  <c r="D129" i="1"/>
  <c r="D133" i="1" s="1"/>
  <c r="D134" i="1" s="1"/>
  <c r="D137" i="1" l="1"/>
  <c r="D136" i="1"/>
  <c r="D138" i="1"/>
  <c r="D139" i="1" l="1"/>
  <c r="D149" i="1" s="1"/>
  <c r="D150" i="1" s="1"/>
  <c r="D154" i="1" s="1"/>
  <c r="D156" i="1" s="1"/>
  <c r="D157" i="1" s="1"/>
  <c r="D158" i="1" s="1"/>
</calcChain>
</file>

<file path=xl/sharedStrings.xml><?xml version="1.0" encoding="utf-8"?>
<sst xmlns="http://schemas.openxmlformats.org/spreadsheetml/2006/main" count="571" uniqueCount="260">
  <si>
    <t>Categoria Profissional</t>
  </si>
  <si>
    <t>Discriminação dos Serviços</t>
  </si>
  <si>
    <t>A</t>
  </si>
  <si>
    <t>B</t>
  </si>
  <si>
    <t>C</t>
  </si>
  <si>
    <t>D</t>
  </si>
  <si>
    <t>Data de apresentação da proposta</t>
  </si>
  <si>
    <t>Município</t>
  </si>
  <si>
    <t>Ano do Acordo, Convenção ou Dissídio Coletivo</t>
  </si>
  <si>
    <t>Número de meses de execução contratual</t>
  </si>
  <si>
    <t>Identificação do Serviço</t>
  </si>
  <si>
    <t>Tipo de Serviço</t>
  </si>
  <si>
    <t>Unidade de Medida</t>
  </si>
  <si>
    <t>Quantidade total de postos</t>
  </si>
  <si>
    <t>Dados para composição dos custos referente à mão-de-obra</t>
  </si>
  <si>
    <t>Tipo de serviço</t>
  </si>
  <si>
    <t>Classificação Brasileira de Ocupações (CBO)</t>
  </si>
  <si>
    <t>Salário Nominativo da Categoria Profissional</t>
  </si>
  <si>
    <t>Categoria profissional (vinculada à execução contratual)</t>
  </si>
  <si>
    <t>Data base da categoria (dd/mm/aaaa)</t>
  </si>
  <si>
    <t>MÓDULO 1 - COMPOSIÇÃO DA REMUNERAÇÃO</t>
  </si>
  <si>
    <t>CATEGORIA PROFISSIONAL</t>
  </si>
  <si>
    <t>MÓDULO 1 - COMPOSIÇÃO DA REMUNERAÇÃO - SALÁRIO BASE</t>
  </si>
  <si>
    <t>Item</t>
  </si>
  <si>
    <t>%</t>
  </si>
  <si>
    <t>Memória de Cálculo</t>
  </si>
  <si>
    <t>Fundamento</t>
  </si>
  <si>
    <t>Salário Base</t>
  </si>
  <si>
    <t>-</t>
  </si>
  <si>
    <t>Valor</t>
  </si>
  <si>
    <t>E</t>
  </si>
  <si>
    <t>F</t>
  </si>
  <si>
    <t>G</t>
  </si>
  <si>
    <t>Adicional de Periculosidade</t>
  </si>
  <si>
    <t>Adicional de Insalubridade</t>
  </si>
  <si>
    <t>Adicional Noturno</t>
  </si>
  <si>
    <t>Adicional de Hora Noturna Reduzida</t>
  </si>
  <si>
    <t>Adicional de Hora Extra no Feriado Trabalhado</t>
  </si>
  <si>
    <t>Outros (especificar)</t>
  </si>
  <si>
    <t>TOTAL DO MÓDULO 1</t>
  </si>
  <si>
    <t>MÓDULO 2 - BENEFÍCIOS MENSAIS E DIÁRIOS</t>
  </si>
  <si>
    <t>Submódulo 2.1: 13º (décimo terceiro) salário e adicional de férias</t>
  </si>
  <si>
    <t>13º Salário</t>
  </si>
  <si>
    <t>Adicional de Férias</t>
  </si>
  <si>
    <t>Descrição</t>
  </si>
  <si>
    <t>Valor (R$)</t>
  </si>
  <si>
    <t>[(1/12)x100]</t>
  </si>
  <si>
    <t xml:space="preserve"> Art. 7º, inciso VIII da  Constituição Federal e Parágrafo único , Art. 1º Dec. 57155/65</t>
  </si>
  <si>
    <t>[(1/12)/3x100]</t>
  </si>
  <si>
    <t>Só provisiona o adicional - Art. 7º, inciso XVII da Constituição Federal</t>
  </si>
  <si>
    <t>Total do Submódulo 2.1</t>
  </si>
  <si>
    <t>Incidência do Submódulo 2.2 sobre o Total do Submódulo 2.1</t>
  </si>
  <si>
    <t>Submódulo 2.2: Encargos Previdenciários (GPS), Fundo de Garantia por Tempo de Serviço (FGTS) e outras contribuições</t>
  </si>
  <si>
    <t>INSS</t>
  </si>
  <si>
    <t>Salário Educação</t>
  </si>
  <si>
    <t>Riscos Ambientais do Trabalho - RAT x FAP</t>
  </si>
  <si>
    <t>SESC ou SESI</t>
  </si>
  <si>
    <t>SENAI - SENAC</t>
  </si>
  <si>
    <t>SEBRAE</t>
  </si>
  <si>
    <t>INCRA</t>
  </si>
  <si>
    <t>FGTS</t>
  </si>
  <si>
    <t>H</t>
  </si>
  <si>
    <t>Total dos Encargos</t>
  </si>
  <si>
    <t>Art. 22, Inciso I, da Lei nº 8.212/91.</t>
  </si>
  <si>
    <t>Art. 3º, Inciso I, Decreto n.º 87.043/82.</t>
  </si>
  <si>
    <t>Art. 3º, Lei n.º 8.036/90.</t>
  </si>
  <si>
    <t>Decreto n.º 2.318/86.</t>
  </si>
  <si>
    <t>Art. 8º, Lei n.º 8.029/90 e Lei n.º 8.154/90.</t>
  </si>
  <si>
    <t>Lei n.º 7.787/89 e DL n.º 1.146/70.</t>
  </si>
  <si>
    <t>Art. 15, Lei nº 8.036/90 e Art. 7º, III, CF.</t>
  </si>
  <si>
    <t>TOTAL A + B</t>
  </si>
  <si>
    <t>Incidência do Submódulo 2.2 sobre o Total A+B</t>
  </si>
  <si>
    <t>TOTAL SUBMÓDULO 2.1</t>
  </si>
  <si>
    <t>TOTAL SUBMÓDULO 2.2</t>
  </si>
  <si>
    <t>RAT x FAP, em que:
RAT – Varia de acordo coma atividade preponderante aplicação do código CNAE ao Anexo V do Decreto n.º 3.048/1999, de 1% a 3%)
FAP – varia de 0,5 a 2,000, mas adota-se o maior valor possível para o exercício, conforme Decreto n.º 6.957/2009.</t>
  </si>
  <si>
    <t>Submódulo 2.3: Encargos Sociais e Trabalhistas</t>
  </si>
  <si>
    <t>Transporte</t>
  </si>
  <si>
    <t>Assistência médica e familiar</t>
  </si>
  <si>
    <t>Auxílio Creche</t>
  </si>
  <si>
    <t>Seguro de Vida, Invalidez e Funeral</t>
  </si>
  <si>
    <t>Auxílio alimentação</t>
  </si>
  <si>
    <t>Valor apurado em planilha auxiliar após pesquisa mercadológica</t>
  </si>
  <si>
    <r>
      <rPr>
        <b/>
        <sz val="10"/>
        <color theme="1"/>
        <rFont val="Tahoma"/>
        <family val="2"/>
      </rPr>
      <t>(Valor do vale x 2 x 22 dias úteis) - (0,06 x Salário Base)</t>
    </r>
    <r>
      <rPr>
        <sz val="10"/>
        <color theme="1"/>
        <rFont val="Tahoma"/>
        <family val="2"/>
      </rPr>
      <t xml:space="preserve">
O vale transporte foi baseado no preço da passagem, trajeto de ida e volta residência/TJPI com uma integração, do transporte coletivo da respectiva capital do estado do Piauí. E permite uma dedução do valor do vale-transporte de 6% que está de acordo com a lei nº 7.418/85 (desconto máximo de 6% do salário-base - Módulo 1 A) (Decreto Municipal de nº 18.230/2019)</t>
    </r>
  </si>
  <si>
    <t>Submódulo 2.3 - Benefícios Mensais e Diários</t>
  </si>
  <si>
    <t>TOTAL SUBMÓDULO 2.3</t>
  </si>
  <si>
    <t>2.1</t>
  </si>
  <si>
    <t>2.2</t>
  </si>
  <si>
    <t>2.3</t>
  </si>
  <si>
    <t>13º Salário, Férias e Adicional de Férias</t>
  </si>
  <si>
    <t>GPS, FGTS e Outras Contribuições</t>
  </si>
  <si>
    <t>Benefícios Mensais e Diários</t>
  </si>
  <si>
    <t>MÓDULO 2 - BENEFÍCIOS MENSAIS E DIÁRIOS - QUADRO-RESUMO</t>
  </si>
  <si>
    <t>MÓDULO 3 - PROVISÃO PARA RESCISÃO</t>
  </si>
  <si>
    <t>Submódulo 3.1 - Aviso Prévio Indenizado</t>
  </si>
  <si>
    <t>TOTAL</t>
  </si>
  <si>
    <t>Aviso Prévio Indenizado</t>
  </si>
  <si>
    <t>Incidência do FGTS sobre o Aviso Prévio Indenizado</t>
  </si>
  <si>
    <t>{[10% x(1/12)]x100} = 0,833%</t>
  </si>
  <si>
    <t>0,08 x {[10%x(1/12)]x100}= 0,067%</t>
  </si>
  <si>
    <t>Art. 7º, XXI, CF/88; art. 487, § 1º, CLT</t>
  </si>
  <si>
    <t>Súmula n.º 305 do TST</t>
  </si>
  <si>
    <t>Art. 18, § 1º, Lei 8.036/90</t>
  </si>
  <si>
    <t>TOTAL SUBMÓDULO 3.1</t>
  </si>
  <si>
    <t>Submódulo 3.2 - Aviso Prévio Trabalhado</t>
  </si>
  <si>
    <t>Aviso Prévio Trabalhado</t>
  </si>
  <si>
    <t>Incidência dos encargos do submódulo 2.2 sobre o Aviso Prévio Trabalhado</t>
  </si>
  <si>
    <t>{[90%x(7/30)/12]x100} = 1,750%</t>
  </si>
  <si>
    <t>{[90%x(7/30)/12]x100}  x Total do submódulo 2.2</t>
  </si>
  <si>
    <t>MÓDULO 3 - PROVISÃO PARA RESCISÃO - QUADRO-RESUMO</t>
  </si>
  <si>
    <t>TOTAL MÓDULO 2</t>
  </si>
  <si>
    <t>TOTAL MÓDULO 3</t>
  </si>
  <si>
    <t>MÓDULO 4 - CUSTO DE REPOSIÇÃO DO PROFISSIONAL AUSENTE</t>
  </si>
  <si>
    <t>Submódulo 4.1 - Ausências Legais</t>
  </si>
  <si>
    <t>I</t>
  </si>
  <si>
    <t>Substituto das Férias</t>
  </si>
  <si>
    <t>Incidência do Submódulo 2.2 sobre as Férias</t>
  </si>
  <si>
    <t>Ausência Justificada</t>
  </si>
  <si>
    <t>Ausências Legais</t>
  </si>
  <si>
    <t>Ausência por Doença</t>
  </si>
  <si>
    <t>Licença Paternidade</t>
  </si>
  <si>
    <t>Ausência por Acidente de Trabalho</t>
  </si>
  <si>
    <t>Afastamento Maternidade</t>
  </si>
  <si>
    <t>Incidência do Submódulo 2.2 sobre os itens C, D, E, F, G, H do submódulo 4.1</t>
  </si>
  <si>
    <t xml:space="preserve">{[((1 x 1 )/30)/12]x100} </t>
  </si>
  <si>
    <t>{[(0,1344*2+0,0305*2*(252/365)+0,0118*3+0,02*1+0,004*1+0,0016*6)/30]/12}</t>
  </si>
  <si>
    <t>{[1*5*(252/365)]/30}/12</t>
  </si>
  <si>
    <t>[(5/30)/12]*0,0143*(252/365)</t>
  </si>
  <si>
    <t>{{(15/30)/12*(0,0922*(252/365)]}</t>
  </si>
  <si>
    <t>{[1+(1/3))*((4/12))/12*(0,0197*(252/365)]}</t>
  </si>
  <si>
    <t>Art. 7º, XVII, CF/88; arts. 129-153, CLT</t>
  </si>
  <si>
    <t>Estudo FIA 2014/15.</t>
  </si>
  <si>
    <t>Incisos I, II, IV,VIII,X, XI do art. 473 da CLT</t>
  </si>
  <si>
    <t>Art. 59 a 64 da Lei n.º 8.213/91.</t>
  </si>
  <si>
    <t>Art. 7º, XIX, CF/88 e 10, § 1º, da CLT e inciso II do art. 1º da Lei nº 11.770, de 9 de setembro de 2008</t>
  </si>
  <si>
    <t>§ 2º do art. 43 da Lei 8.213, de 24 de julho de 1991.</t>
  </si>
  <si>
    <t>Impacto do item férias sobre a licença maternidade, visto que a licença é paga pelo INSS e não gera custo e reposição, inciso I do art. 1º da Lei nº 11.770, de 9 de setembro de 2008</t>
  </si>
  <si>
    <r>
      <t xml:space="preserve">Observação 1: </t>
    </r>
    <r>
      <rPr>
        <sz val="10"/>
        <color theme="1"/>
        <rFont val="Tahoma"/>
        <family val="2"/>
      </rPr>
      <t xml:space="preserve">A licitante deve preencher o item "C" das planilhas de composição de custos e formação de preços com o valor de seu FAP, a ser comprovado no envio de sua proposta adequada ao lance vencedor, mediante apresentação da GFIP ou outro documento apto a fazê-lo, conforme item </t>
    </r>
    <r>
      <rPr>
        <sz val="10"/>
        <color rgb="FFFF0000"/>
        <rFont val="Tahoma"/>
        <family val="2"/>
      </rPr>
      <t>xx do Edital</t>
    </r>
    <r>
      <rPr>
        <sz val="10"/>
        <color theme="1"/>
        <rFont val="Tahoma"/>
        <family val="2"/>
      </rPr>
      <t>.</t>
    </r>
  </si>
  <si>
    <r>
      <t>Observação 2:</t>
    </r>
    <r>
      <rPr>
        <sz val="10"/>
        <color rgb="FFFF0000"/>
        <rFont val="Tahoma"/>
        <family val="2"/>
      </rPr>
      <t xml:space="preserve"> Caso a licitante opte pela desoneração contida na Lei 12.546/2011, tem que zerar o item "A" e adicionar a alíquota de desoneração no Módulo 6 da planilha, conforme item xx do Edital</t>
    </r>
  </si>
  <si>
    <r>
      <t>Ausência Justificada:</t>
    </r>
    <r>
      <rPr>
        <sz val="10"/>
        <color theme="1"/>
        <rFont val="Tahoma"/>
        <family val="2"/>
      </rPr>
      <t xml:space="preserve"> Média estimada (1x1=1) de ausência justificada conforme página 17 do Caderno de Estudo sobre a Composição dos Custos dos Valores Limites dos Serviços de Serviços de Limpeza e Conservação do Piauí.  Disponível no Link https://https://www.gov.br/compras/pt-br/agente-publico/cadernos-tecnicos-e-valores-limites/cts-2019/ct_lim_pi_2019.pdf</t>
    </r>
  </si>
  <si>
    <r>
      <t xml:space="preserve">Ausências Legais: </t>
    </r>
    <r>
      <rPr>
        <sz val="10"/>
        <color theme="1"/>
        <rFont val="Tahoma"/>
        <family val="2"/>
      </rPr>
      <t>Média estimada {(0,1344x2)+(0,0305x2x(252/365))+(0,0118x3)+(0,02x1)+(0,004x1)+(0,0016x6)}= 0,3808 dias de ausências legais, conforme página 17 do Caderno de Estudo sobre a Composição dos Custos dos Valores Limites dos Serviços de Serviços de Limpeza e Conservação do Piauí.  Disponível no Link https://https://www.gov.br/compras/pt-br/agente-publico/cadernos-tecnicos-e-valores-limites/cts-2019/ct_lim_pi_2019.pdf</t>
    </r>
  </si>
  <si>
    <r>
      <t xml:space="preserve">Ausência por Doença: </t>
    </r>
    <r>
      <rPr>
        <sz val="10"/>
        <color theme="1"/>
        <rFont val="Tahoma"/>
        <family val="2"/>
      </rPr>
      <t>Média estimada (1 x 5 x 252/365 = 3,4521) de ausência por doença conforme página 17 do Caderno de Estudo sobre a Composição dos Custos dos Valores Limites dos Serviços de Serviços de Limpeza e Conservação do Piauí.  Disponível no Link https://https://www.gov.br/compras/pt-br/agente-publico/cadernos-tecnicos-e-valores-limites/cts-2019/ct_lim_pi_2019.pdf</t>
    </r>
  </si>
  <si>
    <r>
      <t xml:space="preserve">Licença Paternidade: </t>
    </r>
    <r>
      <rPr>
        <sz val="10"/>
        <color theme="1"/>
        <rFont val="Tahoma"/>
        <family val="2"/>
      </rPr>
      <t>Estimativa de 5 (cinco) dias da licença por ano combinada com a estimativa (0,0143 x 252/365) = 0,00987288 presente na página 17 do Caderno de Estudo sobre a Composição dos Custos dos Valores Limites dos Serviços de Serviços de Limpeza e Conservação do Piauí.  Disponível no Link https://https://www.gov.br/compras/pt-br/agente-publico/cadernos-tecnicos-e-valores-limites/cts-2019/ct_lim_pi_2019.pdf. A estatimativa foi alterada de 20 para 5 dias, pois mesmo que a empresa faça a opção pelo Programa empresa Cidadã. a despesa é dedutível do IRPJ em função do art. 5º da Lei 11.770/2008 não havendo custo de reposição.</t>
    </r>
  </si>
  <si>
    <r>
      <t xml:space="preserve">Ausência por Acidente de Trabalho: </t>
    </r>
    <r>
      <rPr>
        <sz val="10"/>
        <color theme="1"/>
        <rFont val="Tahoma"/>
        <family val="2"/>
      </rPr>
      <t>Estimativa de 15 (quinze) dias por ano combinada com estimativa (0,0922x252/365=0,063656) conforme página 17 do Caderno de Estudo sobre a Composição dos Custos dos Valores Limites dos Serviços de Serviços de Limpeza e Conservação do Piauí.  Disponível no Link https://https://www.gov.br/compras/pt-br/agente-publico/cadernos-tecnicos-e-valores-limites/cts-2019/ct_lim_pi_2019.pdf</t>
    </r>
  </si>
  <si>
    <r>
      <t xml:space="preserve">Afastamento Maternidade: </t>
    </r>
    <r>
      <rPr>
        <sz val="10"/>
        <color theme="1"/>
        <rFont val="Tahoma"/>
        <family val="2"/>
      </rPr>
      <t>Estimativa de 0,0136011 (0,0197x252/365)) dos empregados usufruindo de 4 (quatro) meses de licença por ano conforme página 17 do Caderno de Estudo sobre a Composição dos Custos dos Valores Limites dos Serviços de Serviços de Limpeza e Conservação do Piauí.  Disponível no Link https://https://www.gov.br/compras/pt-br/agente-publico/cadernos-tecnicos-e-valores-limites/cts-2019/ct_lim_pi_2019.pdf. A estatística foi alterada de 180 dias ( 6 meses ) para 120 dias (4 meses), pois mesmo que a empresa faça a opção pelo Programa empresa Cidadã. a despesa é dedutível do IRPJ em função do art. 5º da Lei 11.770/2008). não havendo custo de reposição adicional</t>
    </r>
  </si>
  <si>
    <t>Submódulo 4.2 - Intrajornada</t>
  </si>
  <si>
    <t>Intervalo para repouso ou alimentação</t>
  </si>
  <si>
    <t>Incidência do submódulo 2.2 sobre o intervalo para repouso ou alimentação</t>
  </si>
  <si>
    <t>TOTAL SUBMÓDULO 4.1</t>
  </si>
  <si>
    <t>MÓDULO 5 - INSUMOS DIVERSOS</t>
  </si>
  <si>
    <t>Uniformes</t>
  </si>
  <si>
    <t>Materiais</t>
  </si>
  <si>
    <t>Equipamentos</t>
  </si>
  <si>
    <t>Conforme Planilha Anexa</t>
  </si>
  <si>
    <t>TOTAL DO MÓDULO 5</t>
  </si>
  <si>
    <t>MÓDULO 4 - CUSTO DE REPOSIÇÃO DO PROFISSIONAL AUSENTE - QUADRO-RESUMO</t>
  </si>
  <si>
    <t>Ausências legais</t>
  </si>
  <si>
    <t>Intrajornada</t>
  </si>
  <si>
    <t>TOTAL MÓDULO 4</t>
  </si>
  <si>
    <t>SOMA DOS MÓDULOS 1, 2, 3, 4 e 5</t>
  </si>
  <si>
    <t>MÓDULO 6 - CUSTOS INDIRETOS, TRIBUTOS E LUCRO</t>
  </si>
  <si>
    <t>Custos Indiretos</t>
  </si>
  <si>
    <t>Lucro</t>
  </si>
  <si>
    <t>Tributos</t>
  </si>
  <si>
    <t>C.1</t>
  </si>
  <si>
    <t>C.2</t>
  </si>
  <si>
    <t>C.3</t>
  </si>
  <si>
    <t>Tributos Federais (PIS e COFINS)</t>
  </si>
  <si>
    <t>Tributos Estaduais</t>
  </si>
  <si>
    <t>Tributos Municipais (ISS)</t>
  </si>
  <si>
    <t>PIS: 1,65% e COFINS: 7,60%</t>
  </si>
  <si>
    <t>ISS: 5% (Alíquota máxima)</t>
  </si>
  <si>
    <t>Para fins de estimativa do Tribunal de Justiça do Piauí,  os Custos Indiretos são definido em 3,00%. Os percentuais são estimados conforme página 21 do Caderno de Estudo sobre a Composição dos Custos dos Valores Limites dos Serviços de Serviços de Limpeza e Conservação do Piauí. Disponível no Link https://www.gov.br/compras/pt-br/agente-publico/cadernos-tecnicos-e-valores-limites/cts-2019/ct_lim_pi_2019.pdf</t>
  </si>
  <si>
    <t>Para fins de estimativa do Tribunal de Justiça do Piauí, o Lucro é definido em 6,79%. Os percentuais são estimados conforme página 21 do Caderno de Estudo sobre a Composição dos Custos dos Valores Limites dos Serviços de Serviços de Limpeza e Conservação do Piauí.  Disponível no Link https://www.gov.br/compras/pt-br/agente-publico/cadernos-tecnicos-e-valores-limites/cts-2019/ct_lim_pi_2019.pdf</t>
  </si>
  <si>
    <r>
      <t xml:space="preserve">Observação 2: </t>
    </r>
    <r>
      <rPr>
        <sz val="10"/>
        <color theme="1"/>
        <rFont val="Tahoma"/>
        <family val="2"/>
      </rPr>
      <t>Multa do FGTS sobre os funcionários  despedidos sem justa por aviso prévio trabalhado , sendo o percentual vinculado e imutável por força da  Portaria TJ/PI Nº 1.795/2016.</t>
    </r>
  </si>
  <si>
    <r>
      <t xml:space="preserve">Observação 1: </t>
    </r>
    <r>
      <rPr>
        <sz val="10"/>
        <color theme="1"/>
        <rFont val="Tahoma"/>
        <family val="2"/>
      </rPr>
      <t>Os tributos (ISS, COFINS e PIS) foram definidos utilizando o regime de tributação de Lucro REAL, a licitante deve elaborar sua proposta e, por conseguinte, sua planilha com base no regime de tributação ao qual estará submetido durante a execução do contrato.</t>
    </r>
  </si>
  <si>
    <r>
      <t xml:space="preserve">Observação 2: </t>
    </r>
    <r>
      <rPr>
        <sz val="10"/>
        <color theme="1"/>
        <rFont val="Tahoma"/>
        <family val="2"/>
      </rPr>
      <t>Em decorrência do ISSQN, a planilha de custo  poderá sofrer revisões  de acordo com a Lei Tributária do Município onde se realizará a prestação de serviço.</t>
    </r>
  </si>
  <si>
    <r>
      <t xml:space="preserve">Observação 1: </t>
    </r>
    <r>
      <rPr>
        <sz val="10"/>
        <color theme="1"/>
        <rFont val="Tahoma"/>
        <family val="2"/>
      </rPr>
      <t>Redução de 7 dias ou de 2h por dia. Percentual relativo a contrato de 12 (doze) meses.</t>
    </r>
  </si>
  <si>
    <r>
      <t xml:space="preserve">Cálculo: </t>
    </r>
    <r>
      <rPr>
        <sz val="10"/>
        <color theme="1"/>
        <rFont val="Tahoma"/>
        <family val="2"/>
      </rPr>
      <t>{[Total (Remuneração + Encargos Sociais + Insumos) + Total (Lucro e despesas indiretas)] / [1-(COFINS + PIS + ISS)]/100]} x Alíquota</t>
    </r>
  </si>
  <si>
    <t>TRIBUTOS</t>
  </si>
  <si>
    <t>QUADRO RESUMO DO CUSTO POR EMPREGADO</t>
  </si>
  <si>
    <t>MÓDULO 2 - ENCARGOS E BENEFÍCIOS ANUAIS, MENSAIS E DIÁRIOS</t>
  </si>
  <si>
    <t>SUBTOTAL (A + B + C + D + E)</t>
  </si>
  <si>
    <t>MÓDULO 6 - CUSTOS INDIRETOS, LUCROS E TRIBUTOS</t>
  </si>
  <si>
    <t>PREÇO TOTAL POR POSTO</t>
  </si>
  <si>
    <t>TOTAL DO MÓDULO 6</t>
  </si>
  <si>
    <t>QUADRO RESUMO DO VALOR MENSAL DOS SERVIÇOS</t>
  </si>
  <si>
    <t>Quantidade de Postos</t>
  </si>
  <si>
    <t>Valor Mensal do Posto</t>
  </si>
  <si>
    <t>VALOR TOTAL MENSAL</t>
  </si>
  <si>
    <t>VALOR TOTAL ANUAL</t>
  </si>
  <si>
    <t>Cotação 1</t>
  </si>
  <si>
    <t>Cotação 2</t>
  </si>
  <si>
    <t>MÉDIA</t>
  </si>
  <si>
    <t>MEDIANA</t>
  </si>
  <si>
    <t>DESVIO PADRÃO</t>
  </si>
  <si>
    <t>COEFICIENTE DE VARIAÇÃO</t>
  </si>
  <si>
    <t>Assistência médica e familiar (Plano de saúde)</t>
  </si>
  <si>
    <t>Seguro de vida, invalidez e funeral</t>
  </si>
  <si>
    <t>Valor Total Estimado</t>
  </si>
  <si>
    <t>PESQUISA DE MERCADO</t>
  </si>
  <si>
    <t>Submódulo 5</t>
  </si>
  <si>
    <t>Valor Total Mensal</t>
  </si>
  <si>
    <t>INSUMOS E EQUIPAMENTOS</t>
  </si>
  <si>
    <t>TERESINA</t>
  </si>
  <si>
    <t>Apoio Administrativo</t>
  </si>
  <si>
    <t>Posto</t>
  </si>
  <si>
    <t>VALOR TOTAL (36 meses)</t>
  </si>
  <si>
    <t>&lt;&lt;&lt;&lt;&lt;&lt;&lt; Valor que vai para a planilha Memória de Cálculo</t>
  </si>
  <si>
    <t>CARREGADOR</t>
  </si>
  <si>
    <t>7832-10</t>
  </si>
  <si>
    <t>Valor Mensal Por Posto</t>
  </si>
  <si>
    <t>EPI's</t>
  </si>
  <si>
    <t>Cotação 3</t>
  </si>
  <si>
    <t xml:space="preserve">MÉDIA </t>
  </si>
  <si>
    <t>Camisa</t>
  </si>
  <si>
    <t>Calça</t>
  </si>
  <si>
    <t>Par de Meias</t>
  </si>
  <si>
    <t>Botina em borracha, bico arredondado, cor preta</t>
  </si>
  <si>
    <t>Luvas de segurança, confeccionada com material resistente e antiderrapante</t>
  </si>
  <si>
    <t>Relação da cotação com a média dos demais itens</t>
  </si>
  <si>
    <t xml:space="preserve">Crachá </t>
  </si>
  <si>
    <t xml:space="preserve">Cinta Lombar </t>
  </si>
  <si>
    <t>Óculos de proteção individual</t>
  </si>
  <si>
    <t>Protetor auricular</t>
  </si>
  <si>
    <t>Quantidade Mensal</t>
  </si>
  <si>
    <t>Quantidade Anual</t>
  </si>
  <si>
    <t>Valor Médio Anual</t>
  </si>
  <si>
    <t>Valor Total Anual</t>
  </si>
  <si>
    <t>EPI'S</t>
  </si>
  <si>
    <t>Cinto de Couro</t>
  </si>
  <si>
    <t>O valor do auxílio-alimentação foi calculado com nos valores estabelecidos na Convenção Coletiva da Categoria 2023/2023 registrada no MTE sob o nº  PI000066/2023</t>
  </si>
  <si>
    <t>PI000066/2023</t>
  </si>
  <si>
    <t xml:space="preserve">CUSTO DE DESLOCAMENTO DIÁRIO </t>
  </si>
  <si>
    <t xml:space="preserve">TOTAL </t>
  </si>
  <si>
    <t>PARCIAL</t>
  </si>
  <si>
    <t xml:space="preserve">I – VALOR DIÁRIO </t>
  </si>
  <si>
    <t xml:space="preserve">CUSTOS INDIRETOS, TRIBUTOS E LUCRO </t>
  </si>
  <si>
    <t xml:space="preserve">A - CUSTOS INDIRETOS </t>
  </si>
  <si>
    <t>B - LUCRO</t>
  </si>
  <si>
    <t>SUBTOTAL (A+B)</t>
  </si>
  <si>
    <t>TRIBUTAÇÃO SOBRE O FATURAMENTO</t>
  </si>
  <si>
    <t>C - ISSQN</t>
  </si>
  <si>
    <t>SUBTOTAL (C+D+E)</t>
  </si>
  <si>
    <t>II - VALOR TOTAL  DIÁRIO  ( VALOR DA DIÁRIA + A+ B+ C+ D + E)</t>
  </si>
  <si>
    <t>VALOR DO DESLOCAMENTO ANUAL (VALOR DA ESTIMATIVA MENSAL X 12)</t>
  </si>
  <si>
    <t>Observações:</t>
  </si>
  <si>
    <t xml:space="preserve">1 - Valor diário do custo de deslocamento estabelecido no Provimento Conjunto nº 21/2019, com modificações resultantes do Provimento Conjunto 63/2022 e 69/2022. </t>
  </si>
  <si>
    <t xml:space="preserve"> 2 - Com a reforma trabalhista e a nova redação do art. 457 da CLT, o total de diárias pago não integra a remuneração, passando a ser todo indenizado, a saber:
"Art. 457. § 2º As importâncias, ainda que habituais, pagas a título de ajuda de custo, auxílio-alimentação, vedado seu pagamento em dinheiro,diárias para viagem, prêmios e abonos não integram a remuneração do empregado, não se incorporam ao contrato de trabalho e não constituem base de incidência de qualquer encargo trabalhista e previdenciário."</t>
  </si>
  <si>
    <t xml:space="preserve">3 - O custo de deslocamento diário não será objeto de disputa no certame, devendo ser obeservado o valor já estabelecido. </t>
  </si>
  <si>
    <t>D - COFINS</t>
  </si>
  <si>
    <t>E - PIS</t>
  </si>
  <si>
    <t xml:space="preserve">4 - Os percentuais ofertados pela licitante no cálculo do valor total do custo de deslocamento diário, referentes à Custo indiretos, Lucro e tributos,  devém ser os mesmos ofertados nas planilhas de custos e formação de preços do posto de trabalho </t>
  </si>
  <si>
    <t>VALOR DE 10 DESLOCAMENTOS MENSAIS (ESTIMATIVA)¹</t>
  </si>
  <si>
    <t>¹Foram estimadas 10 diárias mensais.</t>
  </si>
  <si>
    <r>
      <t xml:space="preserve">Observação 1: </t>
    </r>
    <r>
      <rPr>
        <sz val="10"/>
        <color theme="1"/>
        <rFont val="Tahoma"/>
        <family val="2"/>
      </rPr>
      <t>Estimativa de que 10% (cinco por cento) dos funcionários serão demitidos sem justa causa por aviso prévio indenizado, sendo este percentual o resíduo da diferença entre o total de demissões e as demissões por aviso prévio trabalhado que é de 90%, conforme previsão na multa do FGTS presente na portaria de conta vinculada TJ/PI Nº 781/2022.</t>
    </r>
  </si>
  <si>
    <r>
      <t>Observação 2:</t>
    </r>
    <r>
      <rPr>
        <sz val="10"/>
        <color theme="1"/>
        <rFont val="Tahoma"/>
        <family val="2"/>
      </rPr>
      <t xml:space="preserve"> Cálculo leva em consideração o total dos depósitos de FGTS que seriam feitos (FGTS sobre salário + 13º apropriado 1/12 + ferias apropriada 1/12 + 1/3 de ferias apropriado 1/12 + o salário indenizado apropriado 1/12). A previsão de Multa do FGTS foi realizada sobre estimativa de que 10% dos funcionários que serão despedidos sem justa causa  por aviso prévio Indenizado, sendo este percentual resíduo do que está vinculado ao Aviso Prévio Trabalhado por força da  Portaria TJ/PI Nº 781/2022.</t>
    </r>
  </si>
  <si>
    <t>{0,08 x 0,4 x 90% x [1 + 1/12 + (1/3*1/12)] x 100}</t>
  </si>
  <si>
    <t>{0,08 x 0,4 x 10% x [1 + 1/12 + (1/3*1/12)] x 100}</t>
  </si>
  <si>
    <t>Multa do FGTS em caso de demissões mediante aviso prévio  
trabalhado</t>
  </si>
  <si>
    <t>Multa do FGTS em caso de demissões mediante aviso prévio  
indenizado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</si>
</sst>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164" formatCode="0.000%"/>
    <numFmt numFmtId="165" formatCode="_-&quot;R$&quot;\ * #,##0.00_-;\-&quot;R$&quot;\ * #,##0.00_-;_-&quot;R$&quot;\ * &quot;-&quot;???_-;_-@_-"/>
    <numFmt numFmtId="166" formatCode="0.0000%"/>
    <numFmt numFmtId="167" formatCode="_(&quot;R$ &quot;* #,##0.00_);_(&quot;R$ &quot;* \(#,##0.00\);_(&quot;R$ &quot;* \-??_);_(@_)"/>
    <numFmt numFmtId="168" formatCode="[$R$-416]\ #,##0.00;[Red]\-[$R$-416]\ #,##0.00"/>
    <numFmt numFmtId="169" formatCode="&quot;R$ &quot;#,##0.00;[Red]&quot;-R$ &quot;#,##0.00"/>
    <numFmt numFmtId="170" formatCode="&quot;R$ 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sz val="11"/>
      <color rgb="FF333333"/>
      <name val="Calibri"/>
      <family val="2"/>
    </font>
    <font>
      <sz val="10"/>
      <name val="Arial"/>
      <family val="2"/>
      <charset val="1"/>
    </font>
    <font>
      <sz val="10"/>
      <name val="Tahoma"/>
      <family val="2"/>
    </font>
    <font>
      <sz val="10"/>
      <color rgb="FF333333"/>
      <name val="Tahoma"/>
      <family val="2"/>
    </font>
    <font>
      <b/>
      <sz val="10"/>
      <color rgb="FF333333"/>
      <name val="Tahoma"/>
      <family val="2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1"/>
      <color rgb="FF000000"/>
      <name val="Tahoma"/>
      <family val="2"/>
    </font>
    <font>
      <b/>
      <sz val="11"/>
      <color rgb="FF000000"/>
      <name val="Tahoma"/>
      <family val="2"/>
    </font>
    <font>
      <sz val="11"/>
      <name val="Tahoma"/>
      <family val="2"/>
    </font>
    <font>
      <b/>
      <sz val="11"/>
      <color rgb="FF333333"/>
      <name val="Tahoma"/>
      <family val="2"/>
    </font>
    <font>
      <b/>
      <sz val="1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DBDB"/>
        <bgColor rgb="FFDDE8CB"/>
      </patternFill>
    </fill>
    <fill>
      <patternFill patternType="solid">
        <fgColor theme="0"/>
        <bgColor rgb="FFDDE8CB"/>
      </patternFill>
    </fill>
    <fill>
      <patternFill patternType="solid">
        <fgColor rgb="FFFFFF00"/>
        <bgColor rgb="FFDDE8CB"/>
      </patternFill>
    </fill>
    <fill>
      <patternFill patternType="solid">
        <fgColor theme="0"/>
        <bgColor rgb="FFDBDBDB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E99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DDE8CB"/>
      </patternFill>
    </fill>
    <fill>
      <patternFill patternType="solid">
        <fgColor theme="0"/>
        <bgColor rgb="FF92D05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/>
        <bgColor rgb="FF81D41A"/>
      </patternFill>
    </fill>
    <fill>
      <patternFill patternType="solid">
        <fgColor rgb="FFFFFF00"/>
        <bgColor rgb="FF000000"/>
      </patternFill>
    </fill>
    <fill>
      <patternFill patternType="solid">
        <fgColor rgb="FFD9D9D9"/>
        <bgColor rgb="FFC9C9C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7" fontId="7" fillId="0" borderId="0" applyBorder="0" applyProtection="0"/>
    <xf numFmtId="0" fontId="11" fillId="0" borderId="0"/>
    <xf numFmtId="9" fontId="12" fillId="0" borderId="0" applyBorder="0" applyAlignment="0" applyProtection="0"/>
    <xf numFmtId="44" fontId="12" fillId="0" borderId="0" applyBorder="0" applyAlignment="0" applyProtection="0"/>
    <xf numFmtId="0" fontId="7" fillId="0" borderId="0"/>
  </cellStyleXfs>
  <cellXfs count="20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9" fontId="2" fillId="0" borderId="0" xfId="2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2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5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vertical="center"/>
    </xf>
    <xf numFmtId="165" fontId="2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66" fontId="3" fillId="0" borderId="1" xfId="2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66" fontId="3" fillId="0" borderId="7" xfId="2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4" fontId="3" fillId="7" borderId="1" xfId="1" applyFont="1" applyFill="1" applyBorder="1" applyAlignment="1">
      <alignment horizontal="center" vertical="center"/>
    </xf>
    <xf numFmtId="44" fontId="3" fillId="8" borderId="1" xfId="0" applyNumberFormat="1" applyFont="1" applyFill="1" applyBorder="1" applyAlignment="1">
      <alignment horizontal="center" vertical="center"/>
    </xf>
    <xf numFmtId="166" fontId="3" fillId="7" borderId="1" xfId="0" applyNumberFormat="1" applyFont="1" applyFill="1" applyBorder="1" applyAlignment="1">
      <alignment horizontal="center" vertical="center"/>
    </xf>
    <xf numFmtId="167" fontId="8" fillId="0" borderId="9" xfId="4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0" fillId="0" borderId="8" xfId="3" applyFont="1" applyBorder="1" applyAlignment="1">
      <alignment horizontal="center" vertical="center"/>
    </xf>
    <xf numFmtId="0" fontId="10" fillId="0" borderId="8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9" fillId="0" borderId="9" xfId="3" applyFont="1" applyBorder="1" applyAlignment="1">
      <alignment horizontal="center" vertical="center"/>
    </xf>
    <xf numFmtId="0" fontId="9" fillId="0" borderId="9" xfId="3" applyFont="1" applyBorder="1" applyAlignment="1">
      <alignment horizontal="center" vertical="center" wrapText="1"/>
    </xf>
    <xf numFmtId="10" fontId="9" fillId="0" borderId="9" xfId="3" applyNumberFormat="1" applyFont="1" applyBorder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3" fillId="5" borderId="10" xfId="0" applyFont="1" applyFill="1" applyBorder="1" applyAlignment="1">
      <alignment vertical="center"/>
    </xf>
    <xf numFmtId="0" fontId="9" fillId="5" borderId="0" xfId="3" applyFont="1" applyFill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10" fillId="5" borderId="1" xfId="3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44" fontId="3" fillId="6" borderId="1" xfId="0" applyNumberFormat="1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44" fontId="3" fillId="16" borderId="1" xfId="1" applyFont="1" applyFill="1" applyBorder="1" applyAlignment="1">
      <alignment horizontal="center" vertical="center"/>
    </xf>
    <xf numFmtId="165" fontId="2" fillId="16" borderId="1" xfId="0" applyNumberFormat="1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16" borderId="0" xfId="0" applyFont="1" applyFill="1" applyAlignment="1">
      <alignment horizontal="center" vertical="center"/>
    </xf>
    <xf numFmtId="44" fontId="3" fillId="16" borderId="1" xfId="0" applyNumberFormat="1" applyFont="1" applyFill="1" applyBorder="1" applyAlignment="1">
      <alignment horizontal="center" vertical="center"/>
    </xf>
    <xf numFmtId="167" fontId="10" fillId="9" borderId="1" xfId="3" applyNumberFormat="1" applyFont="1" applyFill="1" applyBorder="1" applyAlignment="1">
      <alignment horizontal="center" vertical="center"/>
    </xf>
    <xf numFmtId="166" fontId="2" fillId="5" borderId="1" xfId="2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64" fontId="2" fillId="5" borderId="1" xfId="2" applyNumberFormat="1" applyFont="1" applyFill="1" applyBorder="1" applyAlignment="1">
      <alignment horizontal="center" vertical="center"/>
    </xf>
    <xf numFmtId="0" fontId="13" fillId="0" borderId="0" xfId="5" applyFont="1"/>
    <xf numFmtId="0" fontId="14" fillId="0" borderId="0" xfId="5" applyFont="1" applyAlignment="1">
      <alignment horizontal="center" vertical="center"/>
    </xf>
    <xf numFmtId="9" fontId="15" fillId="0" borderId="0" xfId="6" applyFont="1" applyAlignment="1">
      <alignment horizontal="center" vertical="center"/>
    </xf>
    <xf numFmtId="0" fontId="13" fillId="0" borderId="0" xfId="5" applyFont="1" applyAlignment="1">
      <alignment horizontal="center" vertical="center"/>
    </xf>
    <xf numFmtId="0" fontId="14" fillId="11" borderId="0" xfId="5" applyFont="1" applyFill="1" applyAlignment="1">
      <alignment horizontal="center" vertical="center" wrapText="1"/>
    </xf>
    <xf numFmtId="0" fontId="14" fillId="12" borderId="1" xfId="5" applyFont="1" applyFill="1" applyBorder="1" applyAlignment="1">
      <alignment horizontal="center" vertical="center" wrapText="1"/>
    </xf>
    <xf numFmtId="0" fontId="14" fillId="11" borderId="1" xfId="5" applyFont="1" applyFill="1" applyBorder="1" applyAlignment="1">
      <alignment horizontal="center" vertical="center" wrapText="1"/>
    </xf>
    <xf numFmtId="44" fontId="14" fillId="11" borderId="1" xfId="1" applyFont="1" applyFill="1" applyBorder="1" applyAlignment="1">
      <alignment horizontal="left" vertical="center" wrapText="1"/>
    </xf>
    <xf numFmtId="44" fontId="14" fillId="11" borderId="1" xfId="5" applyNumberFormat="1" applyFont="1" applyFill="1" applyBorder="1" applyAlignment="1">
      <alignment horizontal="left" vertical="center" wrapText="1"/>
    </xf>
    <xf numFmtId="0" fontId="14" fillId="5" borderId="0" xfId="5" applyFont="1" applyFill="1" applyAlignment="1">
      <alignment horizontal="center" vertical="center"/>
    </xf>
    <xf numFmtId="0" fontId="13" fillId="15" borderId="0" xfId="5" applyFont="1" applyFill="1" applyAlignment="1">
      <alignment horizontal="center" vertical="center" wrapText="1"/>
    </xf>
    <xf numFmtId="0" fontId="13" fillId="5" borderId="0" xfId="5" applyFont="1" applyFill="1" applyAlignment="1">
      <alignment horizontal="center" vertical="center"/>
    </xf>
    <xf numFmtId="168" fontId="13" fillId="5" borderId="0" xfId="5" applyNumberFormat="1" applyFont="1" applyFill="1" applyAlignment="1">
      <alignment horizontal="center" vertical="center" wrapText="1"/>
    </xf>
    <xf numFmtId="168" fontId="13" fillId="5" borderId="0" xfId="5" applyNumberFormat="1" applyFont="1" applyFill="1" applyAlignment="1">
      <alignment horizontal="center" vertical="center"/>
    </xf>
    <xf numFmtId="168" fontId="13" fillId="14" borderId="0" xfId="5" applyNumberFormat="1" applyFont="1" applyFill="1" applyAlignment="1">
      <alignment horizontal="center" vertical="center"/>
    </xf>
    <xf numFmtId="168" fontId="13" fillId="13" borderId="0" xfId="5" applyNumberFormat="1" applyFont="1" applyFill="1" applyAlignment="1">
      <alignment horizontal="center" vertical="center"/>
    </xf>
    <xf numFmtId="9" fontId="17" fillId="0" borderId="0" xfId="6" applyFont="1" applyBorder="1" applyAlignment="1">
      <alignment horizontal="center" vertical="center"/>
    </xf>
    <xf numFmtId="0" fontId="13" fillId="0" borderId="0" xfId="5" applyFont="1" applyAlignment="1">
      <alignment horizontal="center" vertical="center" wrapText="1"/>
    </xf>
    <xf numFmtId="168" fontId="13" fillId="0" borderId="0" xfId="5" applyNumberFormat="1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69" fontId="13" fillId="0" borderId="1" xfId="0" applyNumberFormat="1" applyFont="1" applyBorder="1" applyAlignment="1">
      <alignment horizontal="center" vertical="center" wrapText="1"/>
    </xf>
    <xf numFmtId="169" fontId="13" fillId="0" borderId="1" xfId="0" applyNumberFormat="1" applyFont="1" applyBorder="1" applyAlignment="1">
      <alignment horizontal="center" vertical="center"/>
    </xf>
    <xf numFmtId="169" fontId="13" fillId="21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9" fontId="13" fillId="0" borderId="7" xfId="2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8" fontId="13" fillId="0" borderId="1" xfId="0" applyNumberFormat="1" applyFont="1" applyBorder="1" applyAlignment="1">
      <alignment horizontal="center" vertical="center"/>
    </xf>
    <xf numFmtId="0" fontId="13" fillId="17" borderId="1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169" fontId="13" fillId="0" borderId="1" xfId="0" applyNumberFormat="1" applyFont="1" applyBorder="1" applyAlignment="1">
      <alignment horizontal="center"/>
    </xf>
    <xf numFmtId="9" fontId="13" fillId="0" borderId="1" xfId="2" applyFont="1" applyFill="1" applyBorder="1" applyAlignment="1" applyProtection="1">
      <alignment horizontal="center" vertical="center" wrapText="1"/>
    </xf>
    <xf numFmtId="9" fontId="13" fillId="0" borderId="1" xfId="2" applyFont="1" applyFill="1" applyBorder="1" applyAlignment="1" applyProtection="1">
      <alignment horizontal="center"/>
    </xf>
    <xf numFmtId="0" fontId="13" fillId="0" borderId="0" xfId="0" applyFont="1" applyAlignment="1">
      <alignment horizontal="center" vertical="center"/>
    </xf>
    <xf numFmtId="0" fontId="14" fillId="19" borderId="1" xfId="5" applyFont="1" applyFill="1" applyBorder="1" applyAlignment="1">
      <alignment horizontal="center" vertical="center"/>
    </xf>
    <xf numFmtId="0" fontId="14" fillId="20" borderId="1" xfId="5" applyFont="1" applyFill="1" applyBorder="1" applyAlignment="1">
      <alignment horizontal="center" vertical="center" wrapText="1"/>
    </xf>
    <xf numFmtId="44" fontId="14" fillId="19" borderId="1" xfId="1" applyFont="1" applyFill="1" applyBorder="1" applyAlignment="1">
      <alignment horizontal="center" vertical="center" wrapText="1"/>
    </xf>
    <xf numFmtId="44" fontId="14" fillId="19" borderId="1" xfId="1" applyFont="1" applyFill="1" applyBorder="1" applyAlignment="1">
      <alignment horizontal="center" vertical="center"/>
    </xf>
    <xf numFmtId="169" fontId="14" fillId="20" borderId="1" xfId="5" applyNumberFormat="1" applyFont="1" applyFill="1" applyBorder="1" applyAlignment="1">
      <alignment horizontal="center" vertical="center" wrapText="1"/>
    </xf>
    <xf numFmtId="0" fontId="14" fillId="19" borderId="1" xfId="1" applyNumberFormat="1" applyFont="1" applyFill="1" applyBorder="1" applyAlignment="1">
      <alignment horizontal="center" vertical="center"/>
    </xf>
    <xf numFmtId="44" fontId="14" fillId="19" borderId="1" xfId="1" applyFont="1" applyFill="1" applyBorder="1" applyAlignment="1">
      <alignment horizontal="left" vertical="center"/>
    </xf>
    <xf numFmtId="0" fontId="13" fillId="17" borderId="0" xfId="0" applyFont="1" applyFill="1" applyAlignment="1">
      <alignment horizontal="center" vertical="center"/>
    </xf>
    <xf numFmtId="0" fontId="14" fillId="19" borderId="12" xfId="1" applyNumberFormat="1" applyFont="1" applyFill="1" applyBorder="1" applyAlignment="1">
      <alignment horizontal="center" vertical="center"/>
    </xf>
    <xf numFmtId="169" fontId="14" fillId="20" borderId="3" xfId="5" applyNumberFormat="1" applyFont="1" applyFill="1" applyBorder="1" applyAlignment="1">
      <alignment horizontal="center" vertical="center" wrapText="1"/>
    </xf>
    <xf numFmtId="44" fontId="14" fillId="19" borderId="4" xfId="1" applyFont="1" applyFill="1" applyBorder="1" applyAlignment="1">
      <alignment horizontal="left" vertical="center"/>
    </xf>
    <xf numFmtId="44" fontId="14" fillId="22" borderId="1" xfId="1" applyFont="1" applyFill="1" applyBorder="1" applyAlignment="1">
      <alignment horizontal="left" vertical="center"/>
    </xf>
    <xf numFmtId="44" fontId="14" fillId="19" borderId="0" xfId="1" applyFont="1" applyFill="1" applyBorder="1" applyAlignment="1">
      <alignment horizontal="center" vertical="center"/>
    </xf>
    <xf numFmtId="0" fontId="14" fillId="19" borderId="0" xfId="5" applyFont="1" applyFill="1" applyAlignment="1">
      <alignment horizontal="center" vertical="center"/>
    </xf>
    <xf numFmtId="169" fontId="14" fillId="20" borderId="0" xfId="5" applyNumberFormat="1" applyFont="1" applyFill="1" applyAlignment="1">
      <alignment horizontal="center" vertical="center" wrapText="1"/>
    </xf>
    <xf numFmtId="0" fontId="14" fillId="19" borderId="0" xfId="1" applyNumberFormat="1" applyFont="1" applyFill="1" applyBorder="1" applyAlignment="1">
      <alignment horizontal="center" vertical="center"/>
    </xf>
    <xf numFmtId="44" fontId="14" fillId="19" borderId="0" xfId="1" applyFont="1" applyFill="1" applyBorder="1" applyAlignment="1">
      <alignment horizontal="left" vertical="center"/>
    </xf>
    <xf numFmtId="9" fontId="13" fillId="0" borderId="7" xfId="2" applyFont="1" applyBorder="1" applyAlignment="1" applyProtection="1">
      <alignment horizontal="center" vertical="center"/>
    </xf>
    <xf numFmtId="169" fontId="13" fillId="17" borderId="1" xfId="0" applyNumberFormat="1" applyFont="1" applyFill="1" applyBorder="1" applyAlignment="1">
      <alignment horizontal="center" vertical="center"/>
    </xf>
    <xf numFmtId="9" fontId="13" fillId="0" borderId="1" xfId="2" applyFont="1" applyBorder="1" applyAlignment="1" applyProtection="1">
      <alignment horizontal="center" vertical="center"/>
    </xf>
    <xf numFmtId="169" fontId="13" fillId="17" borderId="0" xfId="0" applyNumberFormat="1" applyFont="1" applyFill="1" applyAlignment="1">
      <alignment horizontal="center" vertical="center"/>
    </xf>
    <xf numFmtId="169" fontId="13" fillId="0" borderId="0" xfId="0" applyNumberFormat="1" applyFont="1" applyAlignment="1">
      <alignment horizontal="center" vertical="center"/>
    </xf>
    <xf numFmtId="10" fontId="13" fillId="0" borderId="0" xfId="0" applyNumberFormat="1" applyFont="1" applyAlignment="1">
      <alignment horizontal="center" vertical="center"/>
    </xf>
    <xf numFmtId="169" fontId="13" fillId="23" borderId="1" xfId="0" applyNumberFormat="1" applyFont="1" applyFill="1" applyBorder="1" applyAlignment="1">
      <alignment horizontal="center" vertical="center"/>
    </xf>
    <xf numFmtId="167" fontId="9" fillId="19" borderId="9" xfId="3" applyNumberFormat="1" applyFont="1" applyFill="1" applyBorder="1" applyAlignment="1">
      <alignment horizontal="center" vertical="center"/>
    </xf>
    <xf numFmtId="167" fontId="9" fillId="24" borderId="9" xfId="3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9" fontId="13" fillId="0" borderId="0" xfId="2" applyFont="1" applyFill="1" applyBorder="1" applyAlignment="1" applyProtection="1">
      <alignment horizontal="center" vertical="center" wrapText="1"/>
    </xf>
    <xf numFmtId="9" fontId="13" fillId="0" borderId="0" xfId="2" applyFont="1" applyFill="1" applyBorder="1" applyAlignment="1" applyProtection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7" fillId="0" borderId="0" xfId="8" applyFont="1" applyAlignment="1">
      <alignment horizontal="center" vertical="center"/>
    </xf>
    <xf numFmtId="0" fontId="15" fillId="0" borderId="13" xfId="8" applyFont="1" applyBorder="1" applyAlignment="1">
      <alignment horizontal="center" vertical="center"/>
    </xf>
    <xf numFmtId="0" fontId="15" fillId="0" borderId="0" xfId="8" applyFont="1" applyAlignment="1">
      <alignment horizontal="center" vertical="center"/>
    </xf>
    <xf numFmtId="170" fontId="15" fillId="0" borderId="0" xfId="8" applyNumberFormat="1" applyFont="1" applyAlignment="1">
      <alignment horizontal="center" vertical="center"/>
    </xf>
    <xf numFmtId="0" fontId="15" fillId="0" borderId="14" xfId="8" applyFont="1" applyBorder="1" applyAlignment="1">
      <alignment horizontal="center" vertical="center"/>
    </xf>
    <xf numFmtId="0" fontId="15" fillId="25" borderId="1" xfId="8" applyFont="1" applyFill="1" applyBorder="1" applyAlignment="1">
      <alignment horizontal="center" vertical="center"/>
    </xf>
    <xf numFmtId="164" fontId="17" fillId="25" borderId="1" xfId="8" applyNumberFormat="1" applyFont="1" applyFill="1" applyBorder="1" applyAlignment="1">
      <alignment horizontal="center" vertical="center"/>
    </xf>
    <xf numFmtId="0" fontId="15" fillId="0" borderId="1" xfId="8" applyFont="1" applyBorder="1" applyAlignment="1">
      <alignment horizontal="center" vertical="center"/>
    </xf>
    <xf numFmtId="0" fontId="15" fillId="0" borderId="1" xfId="8" applyFont="1" applyBorder="1" applyAlignment="1">
      <alignment horizontal="center" vertical="center" wrapText="1"/>
    </xf>
    <xf numFmtId="170" fontId="15" fillId="0" borderId="1" xfId="8" applyNumberFormat="1" applyFont="1" applyBorder="1" applyAlignment="1">
      <alignment horizontal="center" vertical="center"/>
    </xf>
    <xf numFmtId="0" fontId="15" fillId="25" borderId="1" xfId="8" applyFont="1" applyFill="1" applyBorder="1" applyAlignment="1">
      <alignment horizontal="center" vertical="center" wrapText="1"/>
    </xf>
    <xf numFmtId="170" fontId="17" fillId="25" borderId="1" xfId="8" applyNumberFormat="1" applyFont="1" applyFill="1" applyBorder="1" applyAlignment="1">
      <alignment horizontal="center" vertical="center"/>
    </xf>
    <xf numFmtId="170" fontId="15" fillId="0" borderId="14" xfId="8" applyNumberFormat="1" applyFont="1" applyBorder="1" applyAlignment="1">
      <alignment horizontal="center" vertical="center"/>
    </xf>
    <xf numFmtId="0" fontId="15" fillId="0" borderId="15" xfId="8" applyFont="1" applyBorder="1" applyAlignment="1">
      <alignment horizontal="center" vertical="center"/>
    </xf>
    <xf numFmtId="0" fontId="17" fillId="0" borderId="1" xfId="8" applyFont="1" applyBorder="1" applyAlignment="1">
      <alignment horizontal="center" vertical="center"/>
    </xf>
    <xf numFmtId="10" fontId="13" fillId="0" borderId="1" xfId="8" applyNumberFormat="1" applyFont="1" applyBorder="1" applyAlignment="1">
      <alignment horizontal="center" vertical="center" shrinkToFit="1"/>
    </xf>
    <xf numFmtId="170" fontId="15" fillId="0" borderId="1" xfId="8" applyNumberFormat="1" applyFont="1" applyBorder="1" applyAlignment="1">
      <alignment horizontal="center" vertical="center" wrapText="1"/>
    </xf>
    <xf numFmtId="10" fontId="14" fillId="0" borderId="1" xfId="8" applyNumberFormat="1" applyFont="1" applyBorder="1" applyAlignment="1">
      <alignment horizontal="center" vertical="center" shrinkToFit="1"/>
    </xf>
    <xf numFmtId="169" fontId="15" fillId="0" borderId="1" xfId="8" applyNumberFormat="1" applyFont="1" applyBorder="1" applyAlignment="1">
      <alignment horizontal="center" vertical="center" wrapText="1"/>
    </xf>
    <xf numFmtId="170" fontId="17" fillId="0" borderId="1" xfId="8" applyNumberFormat="1" applyFont="1" applyBorder="1" applyAlignment="1">
      <alignment horizontal="center" vertical="center"/>
    </xf>
    <xf numFmtId="170" fontId="15" fillId="25" borderId="1" xfId="8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16" borderId="3" xfId="0" applyFont="1" applyFill="1" applyBorder="1" applyAlignment="1">
      <alignment horizontal="center" vertical="center"/>
    </xf>
    <xf numFmtId="0" fontId="3" fillId="16" borderId="5" xfId="0" applyFont="1" applyFill="1" applyBorder="1" applyAlignment="1">
      <alignment horizontal="center" vertical="center"/>
    </xf>
    <xf numFmtId="0" fontId="3" fillId="16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0" fillId="0" borderId="11" xfId="3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0" fillId="0" borderId="3" xfId="3" applyFont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18" borderId="1" xfId="0" applyFont="1" applyFill="1" applyBorder="1" applyAlignment="1">
      <alignment horizontal="center" vertical="center"/>
    </xf>
    <xf numFmtId="0" fontId="14" fillId="10" borderId="1" xfId="5" applyFont="1" applyFill="1" applyBorder="1" applyAlignment="1">
      <alignment horizontal="center" vertical="center" wrapText="1"/>
    </xf>
    <xf numFmtId="0" fontId="16" fillId="0" borderId="11" xfId="3" applyFont="1" applyBorder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4" fillId="22" borderId="1" xfId="5" applyFont="1" applyFill="1" applyBorder="1" applyAlignment="1">
      <alignment horizontal="center" vertical="center"/>
    </xf>
    <xf numFmtId="0" fontId="15" fillId="0" borderId="1" xfId="8" applyFont="1" applyBorder="1" applyAlignment="1">
      <alignment horizontal="left" vertical="center" wrapText="1"/>
    </xf>
    <xf numFmtId="0" fontId="17" fillId="25" borderId="3" xfId="8" applyFont="1" applyFill="1" applyBorder="1" applyAlignment="1">
      <alignment horizontal="center" vertical="center"/>
    </xf>
    <xf numFmtId="0" fontId="17" fillId="25" borderId="5" xfId="8" applyFont="1" applyFill="1" applyBorder="1" applyAlignment="1">
      <alignment horizontal="center" vertical="center"/>
    </xf>
    <xf numFmtId="0" fontId="17" fillId="25" borderId="4" xfId="8" applyFont="1" applyFill="1" applyBorder="1" applyAlignment="1">
      <alignment horizontal="center" vertical="center"/>
    </xf>
    <xf numFmtId="0" fontId="17" fillId="16" borderId="15" xfId="8" applyFont="1" applyFill="1" applyBorder="1" applyAlignment="1">
      <alignment horizontal="center" vertical="center"/>
    </xf>
    <xf numFmtId="0" fontId="14" fillId="8" borderId="1" xfId="8" applyFont="1" applyFill="1" applyBorder="1" applyAlignment="1">
      <alignment horizontal="center" vertical="center"/>
    </xf>
    <xf numFmtId="0" fontId="13" fillId="0" borderId="1" xfId="8" applyFont="1" applyBorder="1" applyAlignment="1">
      <alignment horizontal="left" vertical="center" wrapText="1"/>
    </xf>
    <xf numFmtId="0" fontId="15" fillId="0" borderId="1" xfId="8" applyFont="1" applyBorder="1" applyAlignment="1">
      <alignment horizontal="left" vertical="center"/>
    </xf>
    <xf numFmtId="0" fontId="17" fillId="0" borderId="1" xfId="8" applyFont="1" applyBorder="1" applyAlignment="1">
      <alignment horizontal="center" vertical="center" wrapText="1"/>
    </xf>
    <xf numFmtId="0" fontId="17" fillId="0" borderId="1" xfId="8" applyFont="1" applyBorder="1" applyAlignment="1">
      <alignment horizontal="center" vertical="center"/>
    </xf>
    <xf numFmtId="0" fontId="17" fillId="0" borderId="0" xfId="8" applyFont="1" applyAlignment="1">
      <alignment horizontal="center" vertical="center"/>
    </xf>
    <xf numFmtId="0" fontId="17" fillId="25" borderId="1" xfId="8" applyFont="1" applyFill="1" applyBorder="1" applyAlignment="1">
      <alignment horizontal="center" vertical="center"/>
    </xf>
    <xf numFmtId="0" fontId="15" fillId="0" borderId="0" xfId="8" applyFont="1" applyAlignment="1">
      <alignment horizontal="center" vertical="center"/>
    </xf>
  </cellXfs>
  <cellStyles count="9">
    <cellStyle name="Moeda" xfId="1" builtinId="4"/>
    <cellStyle name="Moeda 2" xfId="4" xr:uid="{8D06016C-D69C-47F1-9BE2-8D51C7143F35}"/>
    <cellStyle name="Moeda 2 2" xfId="7" xr:uid="{CBC9C82C-E2BE-433E-AFC2-86CB5132EBC2}"/>
    <cellStyle name="Normal" xfId="0" builtinId="0"/>
    <cellStyle name="Normal 2" xfId="5" xr:uid="{0DDFD1CB-79AC-42DF-8E2D-3A7BCD16E894}"/>
    <cellStyle name="Normal 3" xfId="8" xr:uid="{FE88C405-6486-4905-AF9F-499E245D09A4}"/>
    <cellStyle name="Normal 4" xfId="3" xr:uid="{B9AF5B16-C131-43FD-AEC9-6B8D731FF0A5}"/>
    <cellStyle name="Porcentagem" xfId="2" builtinId="5"/>
    <cellStyle name="Porcentagem 2" xfId="6" xr:uid="{51A7A264-3A39-4949-8953-15CA2101D3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59865-4B94-4A56-96CB-9EFD91BF224D}">
  <dimension ref="A2:D158"/>
  <sheetViews>
    <sheetView tabSelected="1" view="pageBreakPreview" topLeftCell="A129" zoomScale="115" zoomScaleNormal="100" zoomScaleSheetLayoutView="115" workbookViewId="0">
      <selection activeCell="D85" sqref="D85"/>
    </sheetView>
  </sheetViews>
  <sheetFormatPr defaultColWidth="9.28515625" defaultRowHeight="12.75" x14ac:dyDescent="0.25"/>
  <cols>
    <col min="1" max="1" width="9.28515625" style="10"/>
    <col min="2" max="2" width="63" style="20" customWidth="1"/>
    <col min="3" max="3" width="18.5703125" style="1" customWidth="1"/>
    <col min="4" max="4" width="31.7109375" style="1" customWidth="1"/>
    <col min="5" max="16384" width="9.28515625" style="1"/>
  </cols>
  <sheetData>
    <row r="2" spans="1:4" ht="13.5" thickBot="1" x14ac:dyDescent="0.3">
      <c r="A2" s="164" t="s">
        <v>0</v>
      </c>
      <c r="B2" s="164"/>
      <c r="C2" s="164" t="str">
        <f>'MEMÓRIA DE CÁLCULO'!C2</f>
        <v>CARREGADOR</v>
      </c>
      <c r="D2" s="164"/>
    </row>
    <row r="4" spans="1:4" x14ac:dyDescent="0.25">
      <c r="A4" s="163" t="s">
        <v>1</v>
      </c>
      <c r="B4" s="163"/>
      <c r="C4" s="163"/>
      <c r="D4" s="163"/>
    </row>
    <row r="5" spans="1:4" x14ac:dyDescent="0.25">
      <c r="A5" s="11">
        <v>1</v>
      </c>
      <c r="B5" s="159" t="s">
        <v>6</v>
      </c>
      <c r="C5" s="159"/>
      <c r="D5" s="4"/>
    </row>
    <row r="6" spans="1:4" x14ac:dyDescent="0.25">
      <c r="A6" s="11">
        <v>2</v>
      </c>
      <c r="B6" s="159" t="s">
        <v>7</v>
      </c>
      <c r="C6" s="159"/>
      <c r="D6" s="4" t="s">
        <v>203</v>
      </c>
    </row>
    <row r="7" spans="1:4" x14ac:dyDescent="0.25">
      <c r="A7" s="11">
        <v>3</v>
      </c>
      <c r="B7" s="159" t="s">
        <v>8</v>
      </c>
      <c r="C7" s="159"/>
      <c r="D7" s="4" t="s">
        <v>231</v>
      </c>
    </row>
    <row r="8" spans="1:4" x14ac:dyDescent="0.25">
      <c r="A8" s="11">
        <v>4</v>
      </c>
      <c r="B8" s="159" t="s">
        <v>9</v>
      </c>
      <c r="C8" s="159"/>
      <c r="D8" s="4">
        <v>12</v>
      </c>
    </row>
    <row r="10" spans="1:4" x14ac:dyDescent="0.25">
      <c r="A10" s="163" t="s">
        <v>10</v>
      </c>
      <c r="B10" s="163"/>
      <c r="C10" s="163"/>
      <c r="D10" s="163"/>
    </row>
    <row r="11" spans="1:4" x14ac:dyDescent="0.25">
      <c r="A11" s="11">
        <v>1</v>
      </c>
      <c r="B11" s="159" t="s">
        <v>11</v>
      </c>
      <c r="C11" s="159"/>
      <c r="D11" s="4" t="s">
        <v>204</v>
      </c>
    </row>
    <row r="12" spans="1:4" x14ac:dyDescent="0.25">
      <c r="A12" s="11">
        <v>2</v>
      </c>
      <c r="B12" s="159" t="s">
        <v>12</v>
      </c>
      <c r="C12" s="159"/>
      <c r="D12" s="4" t="s">
        <v>205</v>
      </c>
    </row>
    <row r="13" spans="1:4" x14ac:dyDescent="0.25">
      <c r="A13" s="11">
        <v>3</v>
      </c>
      <c r="B13" s="159" t="s">
        <v>13</v>
      </c>
      <c r="C13" s="159"/>
      <c r="D13" s="4">
        <v>20</v>
      </c>
    </row>
    <row r="15" spans="1:4" x14ac:dyDescent="0.25">
      <c r="A15" s="163" t="s">
        <v>14</v>
      </c>
      <c r="B15" s="163"/>
      <c r="C15" s="163"/>
      <c r="D15" s="163"/>
    </row>
    <row r="16" spans="1:4" x14ac:dyDescent="0.25">
      <c r="A16" s="11">
        <v>1</v>
      </c>
      <c r="B16" s="159" t="s">
        <v>15</v>
      </c>
      <c r="C16" s="159"/>
      <c r="D16" s="4" t="str">
        <f>D11</f>
        <v>Apoio Administrativo</v>
      </c>
    </row>
    <row r="17" spans="1:4" x14ac:dyDescent="0.25">
      <c r="A17" s="11">
        <v>2</v>
      </c>
      <c r="B17" s="159" t="s">
        <v>16</v>
      </c>
      <c r="C17" s="159"/>
      <c r="D17" s="4" t="s">
        <v>209</v>
      </c>
    </row>
    <row r="18" spans="1:4" x14ac:dyDescent="0.25">
      <c r="A18" s="11">
        <v>3</v>
      </c>
      <c r="B18" s="159" t="s">
        <v>17</v>
      </c>
      <c r="C18" s="159"/>
      <c r="D18" s="17">
        <f>'MEMÓRIA DE CÁLCULO'!C6</f>
        <v>1339.76</v>
      </c>
    </row>
    <row r="19" spans="1:4" x14ac:dyDescent="0.25">
      <c r="A19" s="11">
        <v>4</v>
      </c>
      <c r="B19" s="159" t="s">
        <v>18</v>
      </c>
      <c r="C19" s="159"/>
      <c r="D19" s="13" t="str">
        <f>C2</f>
        <v>CARREGADOR</v>
      </c>
    </row>
    <row r="20" spans="1:4" x14ac:dyDescent="0.25">
      <c r="A20" s="11">
        <v>5</v>
      </c>
      <c r="B20" s="159" t="s">
        <v>19</v>
      </c>
      <c r="C20" s="159"/>
      <c r="D20" s="54">
        <v>44927</v>
      </c>
    </row>
    <row r="22" spans="1:4" x14ac:dyDescent="0.25">
      <c r="A22" s="160" t="s">
        <v>20</v>
      </c>
      <c r="B22" s="160"/>
      <c r="C22" s="160"/>
      <c r="D22" s="160"/>
    </row>
    <row r="23" spans="1:4" ht="15" customHeight="1" x14ac:dyDescent="0.25">
      <c r="A23" s="50" t="s">
        <v>23</v>
      </c>
      <c r="B23" s="50" t="s">
        <v>44</v>
      </c>
      <c r="C23" s="50" t="s">
        <v>24</v>
      </c>
      <c r="D23" s="50" t="s">
        <v>45</v>
      </c>
    </row>
    <row r="24" spans="1:4" x14ac:dyDescent="0.25">
      <c r="A24" s="11" t="s">
        <v>2</v>
      </c>
      <c r="B24" s="18" t="s">
        <v>27</v>
      </c>
      <c r="C24" s="4"/>
      <c r="D24" s="5">
        <f>D18</f>
        <v>1339.76</v>
      </c>
    </row>
    <row r="25" spans="1:4" x14ac:dyDescent="0.25">
      <c r="A25" s="11" t="s">
        <v>3</v>
      </c>
      <c r="B25" s="18" t="s">
        <v>33</v>
      </c>
      <c r="C25" s="4"/>
      <c r="D25" s="5"/>
    </row>
    <row r="26" spans="1:4" x14ac:dyDescent="0.25">
      <c r="A26" s="11" t="s">
        <v>4</v>
      </c>
      <c r="B26" s="18" t="s">
        <v>34</v>
      </c>
      <c r="C26" s="4"/>
      <c r="D26" s="5"/>
    </row>
    <row r="27" spans="1:4" x14ac:dyDescent="0.25">
      <c r="A27" s="11" t="s">
        <v>5</v>
      </c>
      <c r="B27" s="18" t="s">
        <v>35</v>
      </c>
      <c r="C27" s="4"/>
      <c r="D27" s="5"/>
    </row>
    <row r="28" spans="1:4" x14ac:dyDescent="0.25">
      <c r="A28" s="11" t="s">
        <v>30</v>
      </c>
      <c r="B28" s="18" t="s">
        <v>36</v>
      </c>
      <c r="C28" s="4"/>
      <c r="D28" s="5"/>
    </row>
    <row r="29" spans="1:4" x14ac:dyDescent="0.25">
      <c r="A29" s="11" t="s">
        <v>31</v>
      </c>
      <c r="B29" s="18" t="s">
        <v>37</v>
      </c>
      <c r="C29" s="4"/>
      <c r="D29" s="5"/>
    </row>
    <row r="30" spans="1:4" x14ac:dyDescent="0.25">
      <c r="A30" s="11" t="s">
        <v>32</v>
      </c>
      <c r="B30" s="18" t="s">
        <v>38</v>
      </c>
      <c r="C30" s="4"/>
      <c r="D30" s="5"/>
    </row>
    <row r="31" spans="1:4" ht="15" customHeight="1" x14ac:dyDescent="0.25">
      <c r="A31" s="160" t="s">
        <v>39</v>
      </c>
      <c r="B31" s="160"/>
      <c r="C31" s="57" t="s">
        <v>28</v>
      </c>
      <c r="D31" s="58">
        <f>SUM(D24:D30)</f>
        <v>1339.76</v>
      </c>
    </row>
    <row r="33" spans="1:4" x14ac:dyDescent="0.25">
      <c r="A33" s="160" t="s">
        <v>40</v>
      </c>
      <c r="B33" s="160"/>
      <c r="C33" s="160"/>
      <c r="D33" s="160"/>
    </row>
    <row r="35" spans="1:4" x14ac:dyDescent="0.25">
      <c r="A35" s="161" t="s">
        <v>41</v>
      </c>
      <c r="B35" s="161"/>
      <c r="C35" s="161"/>
      <c r="D35" s="161"/>
    </row>
    <row r="36" spans="1:4" x14ac:dyDescent="0.25">
      <c r="A36" s="15" t="s">
        <v>23</v>
      </c>
      <c r="B36" s="15" t="s">
        <v>44</v>
      </c>
      <c r="C36" s="15" t="s">
        <v>24</v>
      </c>
      <c r="D36" s="15" t="s">
        <v>45</v>
      </c>
    </row>
    <row r="37" spans="1:4" x14ac:dyDescent="0.25">
      <c r="A37" s="11" t="s">
        <v>2</v>
      </c>
      <c r="B37" s="18" t="str">
        <f>'MEMÓRIA DE CÁLCULO'!B12</f>
        <v>13º Salário</v>
      </c>
      <c r="C37" s="12">
        <f>'MEMÓRIA DE CÁLCULO'!C12</f>
        <v>8.3333333333333301E-2</v>
      </c>
      <c r="D37" s="21">
        <f>C37*$D$31</f>
        <v>111.64666666666662</v>
      </c>
    </row>
    <row r="38" spans="1:4" x14ac:dyDescent="0.25">
      <c r="A38" s="11" t="s">
        <v>3</v>
      </c>
      <c r="B38" s="18" t="str">
        <f>'MEMÓRIA DE CÁLCULO'!B13</f>
        <v>Adicional de Férias</v>
      </c>
      <c r="C38" s="12">
        <f>'MEMÓRIA DE CÁLCULO'!C13</f>
        <v>2.7777777777777766E-2</v>
      </c>
      <c r="D38" s="21">
        <f>C38*$D$31</f>
        <v>37.21555555555554</v>
      </c>
    </row>
    <row r="39" spans="1:4" x14ac:dyDescent="0.25">
      <c r="A39" s="162" t="s">
        <v>70</v>
      </c>
      <c r="B39" s="162"/>
      <c r="C39" s="19">
        <f>C38+C37</f>
        <v>0.11111111111111106</v>
      </c>
      <c r="D39" s="22">
        <f>SUM(D37:D38)</f>
        <v>148.86222222222216</v>
      </c>
    </row>
    <row r="40" spans="1:4" x14ac:dyDescent="0.25">
      <c r="A40" s="162" t="s">
        <v>71</v>
      </c>
      <c r="B40" s="162"/>
      <c r="C40" s="23">
        <f>C39*C53</f>
        <v>4.4222222222222211E-2</v>
      </c>
      <c r="D40" s="21">
        <f>D39*C53</f>
        <v>59.247164444444429</v>
      </c>
    </row>
    <row r="41" spans="1:4" x14ac:dyDescent="0.25">
      <c r="A41" s="165" t="s">
        <v>72</v>
      </c>
      <c r="B41" s="167"/>
      <c r="C41" s="24">
        <f>C40+C39</f>
        <v>0.15533333333333327</v>
      </c>
      <c r="D41" s="25">
        <f>D39+D40</f>
        <v>208.10938666666658</v>
      </c>
    </row>
    <row r="43" spans="1:4" x14ac:dyDescent="0.25">
      <c r="A43" s="161" t="s">
        <v>52</v>
      </c>
      <c r="B43" s="161"/>
      <c r="C43" s="161"/>
      <c r="D43" s="161"/>
    </row>
    <row r="44" spans="1:4" x14ac:dyDescent="0.25">
      <c r="A44" s="15" t="s">
        <v>23</v>
      </c>
      <c r="B44" s="15" t="s">
        <v>44</v>
      </c>
      <c r="C44" s="15" t="s">
        <v>24</v>
      </c>
      <c r="D44" s="15" t="s">
        <v>45</v>
      </c>
    </row>
    <row r="45" spans="1:4" x14ac:dyDescent="0.25">
      <c r="A45" s="11" t="s">
        <v>2</v>
      </c>
      <c r="B45" s="18" t="str">
        <f>'MEMÓRIA DE CÁLCULO'!B19</f>
        <v>INSS</v>
      </c>
      <c r="C45" s="12">
        <f>'MEMÓRIA DE CÁLCULO'!C19</f>
        <v>0.2</v>
      </c>
      <c r="D45" s="21">
        <f>C45*$D$31</f>
        <v>267.952</v>
      </c>
    </row>
    <row r="46" spans="1:4" x14ac:dyDescent="0.25">
      <c r="A46" s="11" t="s">
        <v>3</v>
      </c>
      <c r="B46" s="18" t="str">
        <f>'MEMÓRIA DE CÁLCULO'!B20</f>
        <v>Salário Educação</v>
      </c>
      <c r="C46" s="12">
        <f>'MEMÓRIA DE CÁLCULO'!C20</f>
        <v>2.5000000000000001E-2</v>
      </c>
      <c r="D46" s="21">
        <f t="shared" ref="D46:D52" si="0">C46*$D$31</f>
        <v>33.494</v>
      </c>
    </row>
    <row r="47" spans="1:4" x14ac:dyDescent="0.25">
      <c r="A47" s="11" t="s">
        <v>4</v>
      </c>
      <c r="B47" s="18" t="str">
        <f>'MEMÓRIA DE CÁLCULO'!B21</f>
        <v>Riscos Ambientais do Trabalho - RAT x FAP</v>
      </c>
      <c r="C47" s="12">
        <f>'MEMÓRIA DE CÁLCULO'!C21</f>
        <v>0.06</v>
      </c>
      <c r="D47" s="21">
        <f t="shared" si="0"/>
        <v>80.385599999999997</v>
      </c>
    </row>
    <row r="48" spans="1:4" x14ac:dyDescent="0.25">
      <c r="A48" s="11" t="s">
        <v>5</v>
      </c>
      <c r="B48" s="18" t="str">
        <f>'MEMÓRIA DE CÁLCULO'!B22</f>
        <v>SESC ou SESI</v>
      </c>
      <c r="C48" s="12">
        <f>'MEMÓRIA DE CÁLCULO'!C22</f>
        <v>1.4999999999999999E-2</v>
      </c>
      <c r="D48" s="21">
        <f t="shared" si="0"/>
        <v>20.096399999999999</v>
      </c>
    </row>
    <row r="49" spans="1:4" x14ac:dyDescent="0.25">
      <c r="A49" s="11" t="s">
        <v>30</v>
      </c>
      <c r="B49" s="18" t="str">
        <f>'MEMÓRIA DE CÁLCULO'!B23</f>
        <v>SENAI - SENAC</v>
      </c>
      <c r="C49" s="12">
        <f>'MEMÓRIA DE CÁLCULO'!C23</f>
        <v>0.01</v>
      </c>
      <c r="D49" s="21">
        <f t="shared" si="0"/>
        <v>13.397600000000001</v>
      </c>
    </row>
    <row r="50" spans="1:4" x14ac:dyDescent="0.25">
      <c r="A50" s="11" t="s">
        <v>31</v>
      </c>
      <c r="B50" s="18" t="str">
        <f>'MEMÓRIA DE CÁLCULO'!B24</f>
        <v>SEBRAE</v>
      </c>
      <c r="C50" s="12">
        <f>'MEMÓRIA DE CÁLCULO'!C24</f>
        <v>6.0000000000000001E-3</v>
      </c>
      <c r="D50" s="21">
        <f t="shared" si="0"/>
        <v>8.0385600000000004</v>
      </c>
    </row>
    <row r="51" spans="1:4" x14ac:dyDescent="0.25">
      <c r="A51" s="11" t="s">
        <v>32</v>
      </c>
      <c r="B51" s="18" t="str">
        <f>'MEMÓRIA DE CÁLCULO'!B25</f>
        <v>INCRA</v>
      </c>
      <c r="C51" s="12">
        <f>'MEMÓRIA DE CÁLCULO'!C25</f>
        <v>2E-3</v>
      </c>
      <c r="D51" s="21">
        <f t="shared" si="0"/>
        <v>2.6795200000000001</v>
      </c>
    </row>
    <row r="52" spans="1:4" x14ac:dyDescent="0.25">
      <c r="A52" s="11" t="s">
        <v>61</v>
      </c>
      <c r="B52" s="18" t="str">
        <f>'MEMÓRIA DE CÁLCULO'!B26</f>
        <v>FGTS</v>
      </c>
      <c r="C52" s="12">
        <f>'MEMÓRIA DE CÁLCULO'!C26</f>
        <v>0.08</v>
      </c>
      <c r="D52" s="21">
        <f t="shared" si="0"/>
        <v>107.1808</v>
      </c>
    </row>
    <row r="53" spans="1:4" x14ac:dyDescent="0.25">
      <c r="A53" s="161" t="s">
        <v>73</v>
      </c>
      <c r="B53" s="161"/>
      <c r="C53" s="26">
        <f>SUM(C45:C52)</f>
        <v>0.39800000000000008</v>
      </c>
      <c r="D53" s="27">
        <f>SUM(D45:D52)</f>
        <v>533.22448000000009</v>
      </c>
    </row>
    <row r="55" spans="1:4" x14ac:dyDescent="0.25">
      <c r="A55" s="161" t="s">
        <v>83</v>
      </c>
      <c r="B55" s="161"/>
      <c r="C55" s="161"/>
      <c r="D55" s="161"/>
    </row>
    <row r="56" spans="1:4" x14ac:dyDescent="0.25">
      <c r="A56" s="15" t="s">
        <v>23</v>
      </c>
      <c r="B56" s="15" t="s">
        <v>44</v>
      </c>
      <c r="C56" s="15" t="s">
        <v>24</v>
      </c>
      <c r="D56" s="15" t="s">
        <v>45</v>
      </c>
    </row>
    <row r="57" spans="1:4" x14ac:dyDescent="0.25">
      <c r="A57" s="11" t="s">
        <v>2</v>
      </c>
      <c r="B57" s="18" t="str">
        <f>'MEMÓRIA DE CÁLCULO'!B35</f>
        <v>Transporte</v>
      </c>
      <c r="C57" s="12"/>
      <c r="D57" s="21">
        <f>'MEMÓRIA DE CÁLCULO'!D35</f>
        <v>95.614400000000003</v>
      </c>
    </row>
    <row r="58" spans="1:4" x14ac:dyDescent="0.25">
      <c r="A58" s="11" t="s">
        <v>3</v>
      </c>
      <c r="B58" s="18" t="str">
        <f>'MEMÓRIA DE CÁLCULO'!B36</f>
        <v>Auxílio alimentação</v>
      </c>
      <c r="C58" s="12"/>
      <c r="D58" s="21">
        <f>'MEMÓRIA DE CÁLCULO'!D36</f>
        <v>412.05</v>
      </c>
    </row>
    <row r="59" spans="1:4" x14ac:dyDescent="0.25">
      <c r="A59" s="11" t="s">
        <v>4</v>
      </c>
      <c r="B59" s="18" t="str">
        <f>'MEMÓRIA DE CÁLCULO'!B37</f>
        <v>Assistência médica e familiar</v>
      </c>
      <c r="C59" s="12"/>
      <c r="D59" s="21">
        <f>'MEMÓRIA DE CÁLCULO'!D37</f>
        <v>84</v>
      </c>
    </row>
    <row r="60" spans="1:4" x14ac:dyDescent="0.25">
      <c r="A60" s="11" t="s">
        <v>5</v>
      </c>
      <c r="B60" s="18" t="str">
        <f>'MEMÓRIA DE CÁLCULO'!B38</f>
        <v>Auxílio Creche</v>
      </c>
      <c r="C60" s="12"/>
      <c r="D60" s="21">
        <f>'MEMÓRIA DE CÁLCULO'!D38</f>
        <v>0</v>
      </c>
    </row>
    <row r="61" spans="1:4" x14ac:dyDescent="0.25">
      <c r="A61" s="11" t="s">
        <v>30</v>
      </c>
      <c r="B61" s="18" t="str">
        <f>'MEMÓRIA DE CÁLCULO'!B39</f>
        <v>Seguro de Vida, Invalidez e Funeral</v>
      </c>
      <c r="C61" s="12"/>
      <c r="D61" s="21">
        <f>'MEMÓRIA DE CÁLCULO'!D39</f>
        <v>7.36</v>
      </c>
    </row>
    <row r="62" spans="1:4" x14ac:dyDescent="0.25">
      <c r="A62" s="11" t="s">
        <v>31</v>
      </c>
      <c r="B62" s="18" t="str">
        <f>'MEMÓRIA DE CÁLCULO'!B40</f>
        <v>Outros (especificar)</v>
      </c>
      <c r="C62" s="12"/>
      <c r="D62" s="21">
        <f>'MEMÓRIA DE CÁLCULO'!D40</f>
        <v>0</v>
      </c>
    </row>
    <row r="63" spans="1:4" x14ac:dyDescent="0.25">
      <c r="A63" s="165" t="s">
        <v>84</v>
      </c>
      <c r="B63" s="166"/>
      <c r="C63" s="167"/>
      <c r="D63" s="27">
        <f>SUM(D57:D62)</f>
        <v>599.02440000000001</v>
      </c>
    </row>
    <row r="65" spans="1:4" x14ac:dyDescent="0.25">
      <c r="A65" s="160" t="s">
        <v>91</v>
      </c>
      <c r="B65" s="160"/>
      <c r="C65" s="160"/>
      <c r="D65" s="160"/>
    </row>
    <row r="66" spans="1:4" x14ac:dyDescent="0.25">
      <c r="A66" s="50" t="s">
        <v>23</v>
      </c>
      <c r="B66" s="50" t="s">
        <v>44</v>
      </c>
      <c r="C66" s="50" t="s">
        <v>24</v>
      </c>
      <c r="D66" s="50" t="s">
        <v>45</v>
      </c>
    </row>
    <row r="67" spans="1:4" x14ac:dyDescent="0.25">
      <c r="A67" s="11" t="s">
        <v>85</v>
      </c>
      <c r="B67" s="18" t="s">
        <v>88</v>
      </c>
      <c r="C67" s="4"/>
      <c r="D67" s="21">
        <f>D41</f>
        <v>208.10938666666658</v>
      </c>
    </row>
    <row r="68" spans="1:4" x14ac:dyDescent="0.25">
      <c r="A68" s="11" t="s">
        <v>86</v>
      </c>
      <c r="B68" s="18" t="s">
        <v>89</v>
      </c>
      <c r="C68" s="4"/>
      <c r="D68" s="21">
        <f>D53</f>
        <v>533.22448000000009</v>
      </c>
    </row>
    <row r="69" spans="1:4" x14ac:dyDescent="0.25">
      <c r="A69" s="11" t="s">
        <v>87</v>
      </c>
      <c r="B69" s="18" t="s">
        <v>90</v>
      </c>
      <c r="C69" s="4"/>
      <c r="D69" s="21">
        <f>D63</f>
        <v>599.02440000000001</v>
      </c>
    </row>
    <row r="70" spans="1:4" x14ac:dyDescent="0.25">
      <c r="A70" s="160" t="s">
        <v>109</v>
      </c>
      <c r="B70" s="160"/>
      <c r="C70" s="160"/>
      <c r="D70" s="59">
        <f>SUM(D67:D69)</f>
        <v>1340.3582666666666</v>
      </c>
    </row>
    <row r="72" spans="1:4" x14ac:dyDescent="0.25">
      <c r="A72" s="160" t="s">
        <v>92</v>
      </c>
      <c r="B72" s="160"/>
      <c r="C72" s="160"/>
      <c r="D72" s="160"/>
    </row>
    <row r="74" spans="1:4" x14ac:dyDescent="0.25">
      <c r="A74" s="161" t="s">
        <v>93</v>
      </c>
      <c r="B74" s="161"/>
      <c r="C74" s="161"/>
      <c r="D74" s="161"/>
    </row>
    <row r="75" spans="1:4" x14ac:dyDescent="0.25">
      <c r="A75" s="15" t="s">
        <v>23</v>
      </c>
      <c r="B75" s="15" t="s">
        <v>44</v>
      </c>
      <c r="C75" s="15" t="s">
        <v>24</v>
      </c>
      <c r="D75" s="15" t="s">
        <v>45</v>
      </c>
    </row>
    <row r="76" spans="1:4" x14ac:dyDescent="0.25">
      <c r="A76" s="11" t="s">
        <v>2</v>
      </c>
      <c r="B76" s="18" t="str">
        <f>'MEMÓRIA DE CÁLCULO'!B46</f>
        <v>Aviso Prévio Indenizado</v>
      </c>
      <c r="C76" s="12">
        <f>'MEMÓRIA DE CÁLCULO'!C46</f>
        <v>8.3333333333333332E-3</v>
      </c>
      <c r="D76" s="21">
        <f>C76*$D$31</f>
        <v>11.164666666666667</v>
      </c>
    </row>
    <row r="77" spans="1:4" x14ac:dyDescent="0.25">
      <c r="A77" s="11" t="s">
        <v>3</v>
      </c>
      <c r="B77" s="18" t="str">
        <f>'MEMÓRIA DE CÁLCULO'!B47</f>
        <v>Incidência do FGTS sobre o Aviso Prévio Indenizado</v>
      </c>
      <c r="C77" s="12">
        <f>'MEMÓRIA DE CÁLCULO'!C47</f>
        <v>6.6666666666666664E-4</v>
      </c>
      <c r="D77" s="21">
        <f t="shared" ref="D77:D78" si="1">C77*$D$31</f>
        <v>0.89317333333333326</v>
      </c>
    </row>
    <row r="78" spans="1:4" x14ac:dyDescent="0.25">
      <c r="A78" s="11" t="s">
        <v>4</v>
      </c>
      <c r="B78" s="18" t="str">
        <f>'MEMÓRIA DE CÁLCULO'!B48</f>
        <v>Multa do FGTS em caso de demissões mediante aviso prévio  
indenizado</v>
      </c>
      <c r="C78" s="12">
        <f>'MEMÓRIA DE CÁLCULO'!C48</f>
        <v>3.5555555555555553E-3</v>
      </c>
      <c r="D78" s="21">
        <f t="shared" si="1"/>
        <v>4.7635911111111104</v>
      </c>
    </row>
    <row r="79" spans="1:4" x14ac:dyDescent="0.25">
      <c r="A79" s="161" t="s">
        <v>102</v>
      </c>
      <c r="B79" s="161"/>
      <c r="C79" s="26">
        <f>SUM(C76:C78)</f>
        <v>1.2555555555555554E-2</v>
      </c>
      <c r="D79" s="27">
        <f>SUM(D76:D78)</f>
        <v>16.82143111111111</v>
      </c>
    </row>
    <row r="81" spans="1:4" x14ac:dyDescent="0.25">
      <c r="A81" s="161" t="s">
        <v>103</v>
      </c>
      <c r="B81" s="161"/>
      <c r="C81" s="161"/>
      <c r="D81" s="161"/>
    </row>
    <row r="82" spans="1:4" x14ac:dyDescent="0.25">
      <c r="A82" s="15" t="s">
        <v>23</v>
      </c>
      <c r="B82" s="15" t="s">
        <v>44</v>
      </c>
      <c r="C82" s="15" t="s">
        <v>24</v>
      </c>
      <c r="D82" s="15" t="s">
        <v>45</v>
      </c>
    </row>
    <row r="83" spans="1:4" x14ac:dyDescent="0.25">
      <c r="A83" s="11" t="s">
        <v>2</v>
      </c>
      <c r="B83" s="18" t="str">
        <f>'MEMÓRIA DE CÁLCULO'!B57</f>
        <v>Aviso Prévio Trabalhado</v>
      </c>
      <c r="C83" s="12">
        <f>'MEMÓRIA DE CÁLCULO'!C57</f>
        <v>1.7500000000000002E-2</v>
      </c>
      <c r="D83" s="21">
        <f>C83*$D$31</f>
        <v>23.445800000000002</v>
      </c>
    </row>
    <row r="84" spans="1:4" x14ac:dyDescent="0.25">
      <c r="A84" s="11" t="s">
        <v>3</v>
      </c>
      <c r="B84" s="18" t="str">
        <f>'MEMÓRIA DE CÁLCULO'!B58</f>
        <v>Incidência dos encargos do submódulo 2.2 sobre o Aviso Prévio Trabalhado</v>
      </c>
      <c r="C84" s="12">
        <f>'MEMÓRIA DE CÁLCULO'!C58</f>
        <v>6.9650000000000016E-3</v>
      </c>
      <c r="D84" s="21">
        <f t="shared" ref="D84:D85" si="2">C84*$D$31</f>
        <v>9.3314284000000018</v>
      </c>
    </row>
    <row r="85" spans="1:4" x14ac:dyDescent="0.25">
      <c r="A85" s="11" t="s">
        <v>4</v>
      </c>
      <c r="B85" s="18" t="str">
        <f>'MEMÓRIA DE CÁLCULO'!B59</f>
        <v>Multa do FGTS em caso de demissões mediante aviso prévio  
trabalhado</v>
      </c>
      <c r="C85" s="12">
        <f>'MEMÓRIA DE CÁLCULO'!C59</f>
        <v>3.2000000000000001E-2</v>
      </c>
      <c r="D85" s="21">
        <f t="shared" si="2"/>
        <v>42.872320000000002</v>
      </c>
    </row>
    <row r="86" spans="1:4" x14ac:dyDescent="0.25">
      <c r="A86" s="161" t="s">
        <v>102</v>
      </c>
      <c r="B86" s="161"/>
      <c r="C86" s="26">
        <f>SUM(C83:C85)</f>
        <v>5.6465000000000001E-2</v>
      </c>
      <c r="D86" s="27">
        <f>SUM(D83:D85)</f>
        <v>75.649548400000015</v>
      </c>
    </row>
    <row r="88" spans="1:4" x14ac:dyDescent="0.25">
      <c r="A88" s="160" t="s">
        <v>108</v>
      </c>
      <c r="B88" s="160"/>
      <c r="C88" s="160"/>
      <c r="D88" s="160"/>
    </row>
    <row r="89" spans="1:4" x14ac:dyDescent="0.25">
      <c r="A89" s="50" t="s">
        <v>23</v>
      </c>
      <c r="B89" s="50" t="s">
        <v>44</v>
      </c>
      <c r="C89" s="50" t="s">
        <v>24</v>
      </c>
      <c r="D89" s="50" t="s">
        <v>45</v>
      </c>
    </row>
    <row r="90" spans="1:4" x14ac:dyDescent="0.25">
      <c r="A90" s="11" t="s">
        <v>85</v>
      </c>
      <c r="B90" s="18" t="s">
        <v>95</v>
      </c>
      <c r="C90" s="4" t="s">
        <v>28</v>
      </c>
      <c r="D90" s="21">
        <f>D79</f>
        <v>16.82143111111111</v>
      </c>
    </row>
    <row r="91" spans="1:4" x14ac:dyDescent="0.25">
      <c r="A91" s="11" t="s">
        <v>86</v>
      </c>
      <c r="B91" s="18" t="s">
        <v>104</v>
      </c>
      <c r="C91" s="4" t="s">
        <v>28</v>
      </c>
      <c r="D91" s="21">
        <f>D86</f>
        <v>75.649548400000015</v>
      </c>
    </row>
    <row r="92" spans="1:4" x14ac:dyDescent="0.25">
      <c r="A92" s="168" t="s">
        <v>110</v>
      </c>
      <c r="B92" s="168"/>
      <c r="C92" s="168"/>
      <c r="D92" s="60">
        <f>SUM(D90:D91)</f>
        <v>92.470979511111125</v>
      </c>
    </row>
    <row r="94" spans="1:4" x14ac:dyDescent="0.25">
      <c r="A94" s="160" t="s">
        <v>111</v>
      </c>
      <c r="B94" s="160"/>
      <c r="C94" s="160"/>
      <c r="D94" s="160"/>
    </row>
    <row r="96" spans="1:4" x14ac:dyDescent="0.25">
      <c r="A96" s="161" t="s">
        <v>112</v>
      </c>
      <c r="B96" s="161"/>
      <c r="C96" s="161"/>
      <c r="D96" s="161"/>
    </row>
    <row r="97" spans="1:4" x14ac:dyDescent="0.25">
      <c r="A97" s="15" t="s">
        <v>23</v>
      </c>
      <c r="B97" s="15" t="s">
        <v>44</v>
      </c>
      <c r="C97" s="15" t="s">
        <v>24</v>
      </c>
      <c r="D97" s="15" t="s">
        <v>45</v>
      </c>
    </row>
    <row r="98" spans="1:4" x14ac:dyDescent="0.25">
      <c r="A98" s="11" t="s">
        <v>2</v>
      </c>
      <c r="B98" s="18" t="str">
        <f>'MEMÓRIA DE CÁLCULO'!B70</f>
        <v>Substituto das Férias</v>
      </c>
      <c r="C98" s="12">
        <f>'MEMÓRIA DE CÁLCULO'!C70</f>
        <v>8.3333333333333329E-2</v>
      </c>
      <c r="D98" s="21">
        <f>C98*$D$31</f>
        <v>111.64666666666666</v>
      </c>
    </row>
    <row r="99" spans="1:4" x14ac:dyDescent="0.25">
      <c r="A99" s="11" t="s">
        <v>3</v>
      </c>
      <c r="B99" s="18" t="str">
        <f>'MEMÓRIA DE CÁLCULO'!B71</f>
        <v>Incidência do Submódulo 2.2 sobre as Férias</v>
      </c>
      <c r="C99" s="12">
        <f>'MEMÓRIA DE CÁLCULO'!C71</f>
        <v>3.3166666666666671E-2</v>
      </c>
      <c r="D99" s="21">
        <f t="shared" ref="D99:D105" si="3">C99*$D$31</f>
        <v>44.435373333333338</v>
      </c>
    </row>
    <row r="100" spans="1:4" x14ac:dyDescent="0.25">
      <c r="A100" s="11" t="s">
        <v>4</v>
      </c>
      <c r="B100" s="18" t="str">
        <f>'MEMÓRIA DE CÁLCULO'!B72</f>
        <v>Ausência Justificada</v>
      </c>
      <c r="C100" s="12">
        <f>'MEMÓRIA DE CÁLCULO'!C72</f>
        <v>2.7777777777777779E-3</v>
      </c>
      <c r="D100" s="21">
        <f t="shared" si="3"/>
        <v>3.7215555555555557</v>
      </c>
    </row>
    <row r="101" spans="1:4" x14ac:dyDescent="0.25">
      <c r="A101" s="11" t="s">
        <v>5</v>
      </c>
      <c r="B101" s="18" t="str">
        <f>'MEMÓRIA DE CÁLCULO'!B73</f>
        <v>Ausências Legais</v>
      </c>
      <c r="C101" s="12">
        <f>'MEMÓRIA DE CÁLCULO'!C73</f>
        <v>1.0553196347031963E-3</v>
      </c>
      <c r="D101" s="21">
        <f t="shared" si="3"/>
        <v>1.4138750337899544</v>
      </c>
    </row>
    <row r="102" spans="1:4" x14ac:dyDescent="0.25">
      <c r="A102" s="11" t="s">
        <v>30</v>
      </c>
      <c r="B102" s="18" t="str">
        <f>'MEMÓRIA DE CÁLCULO'!B74</f>
        <v>Ausência por Doença</v>
      </c>
      <c r="C102" s="12">
        <f>'MEMÓRIA DE CÁLCULO'!C74</f>
        <v>9.5890410958904115E-3</v>
      </c>
      <c r="D102" s="21">
        <f t="shared" si="3"/>
        <v>12.847013698630137</v>
      </c>
    </row>
    <row r="103" spans="1:4" x14ac:dyDescent="0.25">
      <c r="A103" s="11" t="s">
        <v>31</v>
      </c>
      <c r="B103" s="18" t="str">
        <f>'MEMÓRIA DE CÁLCULO'!B75</f>
        <v>Licença Paternidade</v>
      </c>
      <c r="C103" s="12">
        <f>'MEMÓRIA DE CÁLCULO'!C75</f>
        <v>1.3712328767123287E-4</v>
      </c>
      <c r="D103" s="21">
        <f t="shared" si="3"/>
        <v>0.18371229589041096</v>
      </c>
    </row>
    <row r="104" spans="1:4" x14ac:dyDescent="0.25">
      <c r="A104" s="11" t="s">
        <v>32</v>
      </c>
      <c r="B104" s="18" t="str">
        <f>'MEMÓRIA DE CÁLCULO'!B76</f>
        <v>Ausência por Acidente de Trabalho</v>
      </c>
      <c r="C104" s="12">
        <f>'MEMÓRIA DE CÁLCULO'!C76</f>
        <v>2.6523287671232879E-3</v>
      </c>
      <c r="D104" s="21">
        <f t="shared" si="3"/>
        <v>3.5534839890410961</v>
      </c>
    </row>
    <row r="105" spans="1:4" x14ac:dyDescent="0.25">
      <c r="A105" s="11" t="s">
        <v>61</v>
      </c>
      <c r="B105" s="18" t="str">
        <f>'MEMÓRIA DE CÁLCULO'!B77</f>
        <v>Afastamento Maternidade</v>
      </c>
      <c r="C105" s="12">
        <f>'MEMÓRIA DE CÁLCULO'!C77</f>
        <v>5.0374429223744288E-4</v>
      </c>
      <c r="D105" s="21">
        <f t="shared" si="3"/>
        <v>0.67489645296803646</v>
      </c>
    </row>
    <row r="106" spans="1:4" ht="25.5" x14ac:dyDescent="0.25">
      <c r="A106" s="11" t="s">
        <v>113</v>
      </c>
      <c r="B106" s="34" t="str">
        <f>'MEMÓRIA DE CÁLCULO'!B78</f>
        <v>Incidência do Submódulo 2.2 sobre os itens C, D, E, F, G, H do submódulo 4.1</v>
      </c>
      <c r="C106" s="12">
        <f>'MEMÓRIA DE CÁLCULO'!C78</f>
        <v>6.6527032724505346E-3</v>
      </c>
      <c r="D106" s="21">
        <f>SUM(C100:C105)*$D$31</f>
        <v>22.394537025875191</v>
      </c>
    </row>
    <row r="107" spans="1:4" x14ac:dyDescent="0.25">
      <c r="A107" s="161" t="s">
        <v>147</v>
      </c>
      <c r="B107" s="161"/>
      <c r="C107" s="26">
        <f>SUM(C98:C106)</f>
        <v>0.13986803812785387</v>
      </c>
      <c r="D107" s="27">
        <f>SUM(D98:D106)</f>
        <v>200.87111405175042</v>
      </c>
    </row>
    <row r="109" spans="1:4" x14ac:dyDescent="0.25">
      <c r="A109" s="161" t="s">
        <v>144</v>
      </c>
      <c r="B109" s="161"/>
      <c r="C109" s="161"/>
      <c r="D109" s="161"/>
    </row>
    <row r="110" spans="1:4" x14ac:dyDescent="0.25">
      <c r="A110" s="15" t="s">
        <v>23</v>
      </c>
      <c r="B110" s="15" t="s">
        <v>44</v>
      </c>
      <c r="C110" s="15" t="s">
        <v>24</v>
      </c>
      <c r="D110" s="15" t="s">
        <v>45</v>
      </c>
    </row>
    <row r="111" spans="1:4" x14ac:dyDescent="0.25">
      <c r="A111" s="11" t="s">
        <v>2</v>
      </c>
      <c r="B111" s="18" t="str">
        <f>'MEMÓRIA DE CÁLCULO'!B95</f>
        <v>Intervalo para repouso ou alimentação</v>
      </c>
      <c r="C111" s="12">
        <f>'MEMÓRIA DE CÁLCULO'!C83</f>
        <v>0</v>
      </c>
      <c r="D111" s="21">
        <f>C111*$D$31</f>
        <v>0</v>
      </c>
    </row>
    <row r="112" spans="1:4" x14ac:dyDescent="0.25">
      <c r="A112" s="11" t="s">
        <v>3</v>
      </c>
      <c r="B112" s="18" t="str">
        <f>'MEMÓRIA DE CÁLCULO'!B96</f>
        <v>Incidência do submódulo 2.2 sobre o intervalo para repouso ou alimentação</v>
      </c>
      <c r="C112" s="12">
        <f>'MEMÓRIA DE CÁLCULO'!C84</f>
        <v>0</v>
      </c>
      <c r="D112" s="21">
        <f t="shared" ref="D112" si="4">C112*$D$31</f>
        <v>0</v>
      </c>
    </row>
    <row r="113" spans="1:4" x14ac:dyDescent="0.25">
      <c r="A113" s="161" t="s">
        <v>147</v>
      </c>
      <c r="B113" s="161"/>
      <c r="C113" s="26">
        <f>SUM(C111:C112)</f>
        <v>0</v>
      </c>
      <c r="D113" s="27">
        <f>SUM(D111:D112)</f>
        <v>0</v>
      </c>
    </row>
    <row r="114" spans="1:4" x14ac:dyDescent="0.25">
      <c r="A114" s="1"/>
      <c r="B114" s="1"/>
    </row>
    <row r="115" spans="1:4" x14ac:dyDescent="0.25">
      <c r="A115" s="160" t="s">
        <v>154</v>
      </c>
      <c r="B115" s="160"/>
      <c r="C115" s="160"/>
      <c r="D115" s="160"/>
    </row>
    <row r="116" spans="1:4" x14ac:dyDescent="0.25">
      <c r="A116" s="50" t="s">
        <v>23</v>
      </c>
      <c r="B116" s="50" t="s">
        <v>44</v>
      </c>
      <c r="C116" s="50" t="s">
        <v>24</v>
      </c>
      <c r="D116" s="50" t="s">
        <v>45</v>
      </c>
    </row>
    <row r="117" spans="1:4" x14ac:dyDescent="0.25">
      <c r="A117" s="11" t="s">
        <v>85</v>
      </c>
      <c r="B117" s="18" t="s">
        <v>155</v>
      </c>
      <c r="C117" s="4" t="s">
        <v>28</v>
      </c>
      <c r="D117" s="21">
        <f>D107</f>
        <v>200.87111405175042</v>
      </c>
    </row>
    <row r="118" spans="1:4" x14ac:dyDescent="0.25">
      <c r="A118" s="11" t="s">
        <v>86</v>
      </c>
      <c r="B118" s="18" t="s">
        <v>156</v>
      </c>
      <c r="C118" s="4" t="s">
        <v>28</v>
      </c>
      <c r="D118" s="21">
        <f>D113</f>
        <v>0</v>
      </c>
    </row>
    <row r="119" spans="1:4" x14ac:dyDescent="0.25">
      <c r="A119" s="160" t="s">
        <v>157</v>
      </c>
      <c r="B119" s="160"/>
      <c r="C119" s="160"/>
      <c r="D119" s="59">
        <f>SUM(D117:D118)</f>
        <v>200.87111405175042</v>
      </c>
    </row>
    <row r="121" spans="1:4" x14ac:dyDescent="0.25">
      <c r="A121" s="160" t="s">
        <v>148</v>
      </c>
      <c r="B121" s="160"/>
      <c r="C121" s="160"/>
      <c r="D121" s="160"/>
    </row>
    <row r="122" spans="1:4" s="61" customFormat="1" x14ac:dyDescent="0.25">
      <c r="A122" s="50" t="s">
        <v>23</v>
      </c>
      <c r="B122" s="50" t="s">
        <v>44</v>
      </c>
      <c r="C122" s="50" t="s">
        <v>24</v>
      </c>
      <c r="D122" s="50" t="s">
        <v>45</v>
      </c>
    </row>
    <row r="123" spans="1:4" x14ac:dyDescent="0.25">
      <c r="A123" s="11" t="s">
        <v>2</v>
      </c>
      <c r="B123" s="18" t="str">
        <f>'MEMÓRIA DE CÁLCULO'!B100</f>
        <v>Uniformes</v>
      </c>
      <c r="C123" s="4" t="s">
        <v>28</v>
      </c>
      <c r="D123" s="5">
        <f>'MEMÓRIA DE CÁLCULO'!D100</f>
        <v>69.181666666666672</v>
      </c>
    </row>
    <row r="124" spans="1:4" x14ac:dyDescent="0.25">
      <c r="A124" s="11" t="s">
        <v>3</v>
      </c>
      <c r="B124" s="18" t="str">
        <f>'MEMÓRIA DE CÁLCULO'!B101</f>
        <v>Materiais</v>
      </c>
      <c r="C124" s="4" t="s">
        <v>28</v>
      </c>
      <c r="D124" s="5">
        <f>'MEMÓRIA DE CÁLCULO'!D101</f>
        <v>0</v>
      </c>
    </row>
    <row r="125" spans="1:4" x14ac:dyDescent="0.25">
      <c r="A125" s="11" t="s">
        <v>4</v>
      </c>
      <c r="B125" s="18" t="str">
        <f>'MEMÓRIA DE CÁLCULO'!B102</f>
        <v>Equipamentos</v>
      </c>
      <c r="C125" s="4" t="s">
        <v>28</v>
      </c>
      <c r="D125" s="5">
        <f>'MEMÓRIA DE CÁLCULO'!D102</f>
        <v>0</v>
      </c>
    </row>
    <row r="126" spans="1:4" x14ac:dyDescent="0.25">
      <c r="A126" s="11" t="s">
        <v>5</v>
      </c>
      <c r="B126" s="18" t="str">
        <f>'MEMÓRIA DE CÁLCULO'!B103</f>
        <v>EPI'S</v>
      </c>
      <c r="C126" s="4" t="s">
        <v>28</v>
      </c>
      <c r="D126" s="5">
        <f>'MEMÓRIA DE CÁLCULO'!D103</f>
        <v>6.8341666666666674</v>
      </c>
    </row>
    <row r="127" spans="1:4" x14ac:dyDescent="0.25">
      <c r="A127" s="160" t="s">
        <v>153</v>
      </c>
      <c r="B127" s="160"/>
      <c r="C127" s="57" t="s">
        <v>28</v>
      </c>
      <c r="D127" s="58">
        <f>SUM(D123:D126)</f>
        <v>76.015833333333333</v>
      </c>
    </row>
    <row r="129" spans="1:4" ht="23.25" customHeight="1" x14ac:dyDescent="0.25">
      <c r="A129" s="169" t="s">
        <v>158</v>
      </c>
      <c r="B129" s="169"/>
      <c r="C129" s="169"/>
      <c r="D129" s="36">
        <f>D31+D70+D92+D119+D127</f>
        <v>3049.4761935628612</v>
      </c>
    </row>
    <row r="131" spans="1:4" x14ac:dyDescent="0.25">
      <c r="A131" s="160" t="s">
        <v>159</v>
      </c>
      <c r="B131" s="160"/>
      <c r="C131" s="160"/>
      <c r="D131" s="160"/>
    </row>
    <row r="132" spans="1:4" x14ac:dyDescent="0.25">
      <c r="A132" s="3" t="s">
        <v>23</v>
      </c>
      <c r="B132" s="3" t="s">
        <v>44</v>
      </c>
      <c r="C132" s="3" t="s">
        <v>24</v>
      </c>
      <c r="D132" s="3" t="s">
        <v>45</v>
      </c>
    </row>
    <row r="133" spans="1:4" x14ac:dyDescent="0.25">
      <c r="A133" s="11" t="s">
        <v>2</v>
      </c>
      <c r="B133" s="18" t="str">
        <f>'MEMÓRIA DE CÁLCULO'!B107</f>
        <v>Custos Indiretos</v>
      </c>
      <c r="C133" s="30">
        <f>'MEMÓRIA DE CÁLCULO'!C107</f>
        <v>0.03</v>
      </c>
      <c r="D133" s="5">
        <f>D129*C133</f>
        <v>91.484285806885836</v>
      </c>
    </row>
    <row r="134" spans="1:4" x14ac:dyDescent="0.25">
      <c r="A134" s="11" t="s">
        <v>3</v>
      </c>
      <c r="B134" s="18" t="str">
        <f>'MEMÓRIA DE CÁLCULO'!B108</f>
        <v>Lucro</v>
      </c>
      <c r="C134" s="30">
        <f>'MEMÓRIA DE CÁLCULO'!C108</f>
        <v>6.7900000000000002E-2</v>
      </c>
      <c r="D134" s="5">
        <f>(D133+D129)*C134</f>
        <v>213.27121654920583</v>
      </c>
    </row>
    <row r="135" spans="1:4" x14ac:dyDescent="0.25">
      <c r="A135" s="11" t="s">
        <v>4</v>
      </c>
      <c r="B135" s="11" t="s">
        <v>178</v>
      </c>
      <c r="C135" s="30"/>
      <c r="D135" s="5"/>
    </row>
    <row r="136" spans="1:4" x14ac:dyDescent="0.25">
      <c r="A136" s="11" t="s">
        <v>163</v>
      </c>
      <c r="B136" s="18" t="str">
        <f>'MEMÓRIA DE CÁLCULO'!B110</f>
        <v>Tributos Federais (PIS e COFINS)</v>
      </c>
      <c r="C136" s="30">
        <f>'MEMÓRIA DE CÁLCULO'!C110</f>
        <v>9.2499999999999999E-2</v>
      </c>
      <c r="D136" s="5">
        <f>(($D$134+$D$133+$D$129)/(1-SUM($C$136:$C$138))*C136)</f>
        <v>361.82674270845854</v>
      </c>
    </row>
    <row r="137" spans="1:4" x14ac:dyDescent="0.25">
      <c r="A137" s="11" t="s">
        <v>164</v>
      </c>
      <c r="B137" s="18" t="str">
        <f>'MEMÓRIA DE CÁLCULO'!B111</f>
        <v>Tributos Estaduais</v>
      </c>
      <c r="C137" s="30">
        <f>'MEMÓRIA DE CÁLCULO'!C111</f>
        <v>0</v>
      </c>
      <c r="D137" s="5">
        <f>(($D$134+$D$133+$D$129)/(1-SUM($C$136:$C$138))*C137)</f>
        <v>0</v>
      </c>
    </row>
    <row r="138" spans="1:4" x14ac:dyDescent="0.25">
      <c r="A138" s="11" t="s">
        <v>165</v>
      </c>
      <c r="B138" s="18" t="str">
        <f>'MEMÓRIA DE CÁLCULO'!B112</f>
        <v>Tributos Municipais (ISS)</v>
      </c>
      <c r="C138" s="30">
        <f>'MEMÓRIA DE CÁLCULO'!C112</f>
        <v>0.05</v>
      </c>
      <c r="D138" s="5">
        <f>(($D$134+$D$133+$D$129)/(1-SUM($C$136:$C$138))*C138)</f>
        <v>195.58202308565328</v>
      </c>
    </row>
    <row r="139" spans="1:4" x14ac:dyDescent="0.25">
      <c r="A139" s="170" t="s">
        <v>184</v>
      </c>
      <c r="B139" s="170"/>
      <c r="C139" s="37">
        <f>SUM(C133:C138)</f>
        <v>0.2404</v>
      </c>
      <c r="D139" s="35">
        <f>SUM(D133:D138)</f>
        <v>862.1642681502035</v>
      </c>
    </row>
    <row r="141" spans="1:4" s="62" customFormat="1" x14ac:dyDescent="0.25">
      <c r="A141" s="160" t="s">
        <v>179</v>
      </c>
      <c r="B141" s="160"/>
      <c r="C141" s="160"/>
      <c r="D141" s="160"/>
    </row>
    <row r="142" spans="1:4" x14ac:dyDescent="0.25">
      <c r="A142" s="50" t="s">
        <v>23</v>
      </c>
      <c r="B142" s="50" t="s">
        <v>44</v>
      </c>
      <c r="C142" s="50" t="s">
        <v>24</v>
      </c>
      <c r="D142" s="50" t="s">
        <v>45</v>
      </c>
    </row>
    <row r="143" spans="1:4" x14ac:dyDescent="0.25">
      <c r="A143" s="11" t="s">
        <v>2</v>
      </c>
      <c r="B143" s="18" t="s">
        <v>20</v>
      </c>
      <c r="C143" s="4" t="s">
        <v>28</v>
      </c>
      <c r="D143" s="17">
        <f>D31</f>
        <v>1339.76</v>
      </c>
    </row>
    <row r="144" spans="1:4" x14ac:dyDescent="0.25">
      <c r="A144" s="11" t="s">
        <v>3</v>
      </c>
      <c r="B144" s="18" t="s">
        <v>180</v>
      </c>
      <c r="C144" s="4" t="s">
        <v>28</v>
      </c>
      <c r="D144" s="21">
        <f>D70</f>
        <v>1340.3582666666666</v>
      </c>
    </row>
    <row r="145" spans="1:4" x14ac:dyDescent="0.25">
      <c r="A145" s="11" t="s">
        <v>4</v>
      </c>
      <c r="B145" s="18" t="s">
        <v>92</v>
      </c>
      <c r="C145" s="4" t="s">
        <v>28</v>
      </c>
      <c r="D145" s="21">
        <f>D92</f>
        <v>92.470979511111125</v>
      </c>
    </row>
    <row r="146" spans="1:4" x14ac:dyDescent="0.25">
      <c r="A146" s="11" t="s">
        <v>5</v>
      </c>
      <c r="B146" s="18" t="s">
        <v>111</v>
      </c>
      <c r="C146" s="4" t="s">
        <v>28</v>
      </c>
      <c r="D146" s="21">
        <f>D119</f>
        <v>200.87111405175042</v>
      </c>
    </row>
    <row r="147" spans="1:4" x14ac:dyDescent="0.25">
      <c r="A147" s="11" t="s">
        <v>30</v>
      </c>
      <c r="B147" s="18" t="s">
        <v>148</v>
      </c>
      <c r="C147" s="4" t="s">
        <v>28</v>
      </c>
      <c r="D147" s="17">
        <f>D127</f>
        <v>76.015833333333333</v>
      </c>
    </row>
    <row r="148" spans="1:4" x14ac:dyDescent="0.25">
      <c r="A148" s="11" t="s">
        <v>31</v>
      </c>
      <c r="B148" s="18" t="s">
        <v>181</v>
      </c>
      <c r="C148" s="4" t="s">
        <v>28</v>
      </c>
      <c r="D148" s="17">
        <f>SUM(D143:D147)</f>
        <v>3049.4761935628612</v>
      </c>
    </row>
    <row r="149" spans="1:4" x14ac:dyDescent="0.25">
      <c r="A149" s="11" t="s">
        <v>32</v>
      </c>
      <c r="B149" s="18" t="s">
        <v>182</v>
      </c>
      <c r="C149" s="4" t="s">
        <v>28</v>
      </c>
      <c r="D149" s="17">
        <f>D139</f>
        <v>862.1642681502035</v>
      </c>
    </row>
    <row r="150" spans="1:4" s="62" customFormat="1" x14ac:dyDescent="0.25">
      <c r="A150" s="171" t="s">
        <v>183</v>
      </c>
      <c r="B150" s="172"/>
      <c r="C150" s="173"/>
      <c r="D150" s="63">
        <f>ROUND(D148+D149,2)</f>
        <v>3911.64</v>
      </c>
    </row>
    <row r="152" spans="1:4" x14ac:dyDescent="0.25">
      <c r="A152" s="163" t="s">
        <v>185</v>
      </c>
      <c r="B152" s="163"/>
      <c r="C152" s="163"/>
      <c r="D152" s="163"/>
    </row>
    <row r="153" spans="1:4" ht="25.5" x14ac:dyDescent="0.25">
      <c r="A153" s="32" t="s">
        <v>23</v>
      </c>
      <c r="B153" s="32" t="s">
        <v>44</v>
      </c>
      <c r="C153" s="55" t="s">
        <v>186</v>
      </c>
      <c r="D153" s="32" t="s">
        <v>187</v>
      </c>
    </row>
    <row r="154" spans="1:4" ht="25.5" customHeight="1" x14ac:dyDescent="0.25">
      <c r="A154" s="11" t="s">
        <v>2</v>
      </c>
      <c r="B154" s="11" t="str">
        <f>D19</f>
        <v>CARREGADOR</v>
      </c>
      <c r="C154" s="4">
        <f>D13</f>
        <v>20</v>
      </c>
      <c r="D154" s="17">
        <f>D150</f>
        <v>3911.64</v>
      </c>
    </row>
    <row r="156" spans="1:4" x14ac:dyDescent="0.25">
      <c r="A156" s="156" t="s">
        <v>188</v>
      </c>
      <c r="B156" s="157"/>
      <c r="C156" s="158"/>
      <c r="D156" s="56">
        <f>D154*C154</f>
        <v>78232.800000000003</v>
      </c>
    </row>
    <row r="157" spans="1:4" x14ac:dyDescent="0.25">
      <c r="A157" s="156" t="s">
        <v>189</v>
      </c>
      <c r="B157" s="157"/>
      <c r="C157" s="158"/>
      <c r="D157" s="56">
        <f>D156*D8</f>
        <v>938793.60000000009</v>
      </c>
    </row>
    <row r="158" spans="1:4" x14ac:dyDescent="0.25">
      <c r="A158" s="156" t="s">
        <v>206</v>
      </c>
      <c r="B158" s="157"/>
      <c r="C158" s="158"/>
      <c r="D158" s="56">
        <f>D157*3</f>
        <v>2816380.8000000003</v>
      </c>
    </row>
  </sheetData>
  <mergeCells count="55">
    <mergeCell ref="A152:D152"/>
    <mergeCell ref="A156:C156"/>
    <mergeCell ref="A157:C157"/>
    <mergeCell ref="A129:C129"/>
    <mergeCell ref="A131:D131"/>
    <mergeCell ref="A139:B139"/>
    <mergeCell ref="A141:D141"/>
    <mergeCell ref="A150:C150"/>
    <mergeCell ref="A127:B127"/>
    <mergeCell ref="A109:D109"/>
    <mergeCell ref="A113:B113"/>
    <mergeCell ref="A115:D115"/>
    <mergeCell ref="A119:C119"/>
    <mergeCell ref="A92:C92"/>
    <mergeCell ref="A94:D94"/>
    <mergeCell ref="A96:D96"/>
    <mergeCell ref="A107:B107"/>
    <mergeCell ref="A121:D121"/>
    <mergeCell ref="A79:B79"/>
    <mergeCell ref="A81:D81"/>
    <mergeCell ref="A86:B86"/>
    <mergeCell ref="A88:D88"/>
    <mergeCell ref="A70:C70"/>
    <mergeCell ref="A74:D74"/>
    <mergeCell ref="B12:C12"/>
    <mergeCell ref="B13:C13"/>
    <mergeCell ref="A55:D55"/>
    <mergeCell ref="A63:C63"/>
    <mergeCell ref="A41:B41"/>
    <mergeCell ref="A53:B53"/>
    <mergeCell ref="A43:D43"/>
    <mergeCell ref="A2:B2"/>
    <mergeCell ref="A4:D4"/>
    <mergeCell ref="A10:D10"/>
    <mergeCell ref="C2:D2"/>
    <mergeCell ref="B5:C5"/>
    <mergeCell ref="B7:C7"/>
    <mergeCell ref="B6:C6"/>
    <mergeCell ref="B8:C8"/>
    <mergeCell ref="A158:C158"/>
    <mergeCell ref="B11:C11"/>
    <mergeCell ref="A33:D33"/>
    <mergeCell ref="A35:D35"/>
    <mergeCell ref="A39:B39"/>
    <mergeCell ref="A40:B40"/>
    <mergeCell ref="B16:C16"/>
    <mergeCell ref="B17:C17"/>
    <mergeCell ref="B18:C18"/>
    <mergeCell ref="B19:C19"/>
    <mergeCell ref="B20:C20"/>
    <mergeCell ref="A22:D22"/>
    <mergeCell ref="A31:B31"/>
    <mergeCell ref="A15:D15"/>
    <mergeCell ref="A65:D65"/>
    <mergeCell ref="A72:D72"/>
  </mergeCells>
  <pageMargins left="0.25" right="0.25" top="0.75" bottom="0.75" header="0.3" footer="0.3"/>
  <pageSetup paperSize="9" scale="24" orientation="landscape" r:id="rId1"/>
  <rowBreaks count="1" manualBreakCount="1">
    <brk id="16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372F5-B214-4E53-8DB9-39C2B288D30D}">
  <dimension ref="A1:F118"/>
  <sheetViews>
    <sheetView topLeftCell="A45" zoomScaleNormal="100" workbookViewId="0">
      <selection activeCell="A51" sqref="A51:E51"/>
    </sheetView>
  </sheetViews>
  <sheetFormatPr defaultColWidth="9.28515625" defaultRowHeight="12.75" x14ac:dyDescent="0.25"/>
  <cols>
    <col min="1" max="1" width="5.5703125" style="10" customWidth="1"/>
    <col min="2" max="2" width="37.7109375" style="7" customWidth="1"/>
    <col min="3" max="3" width="16.42578125" style="6" customWidth="1"/>
    <col min="4" max="4" width="33" style="1" customWidth="1"/>
    <col min="5" max="5" width="86.42578125" style="7" customWidth="1"/>
    <col min="6" max="16384" width="9.28515625" style="1"/>
  </cols>
  <sheetData>
    <row r="1" spans="1:6" x14ac:dyDescent="0.25">
      <c r="C1" s="1"/>
    </row>
    <row r="2" spans="1:6" ht="24.75" customHeight="1" thickBot="1" x14ac:dyDescent="0.3">
      <c r="A2" s="174" t="s">
        <v>21</v>
      </c>
      <c r="B2" s="174"/>
      <c r="C2" s="175" t="s">
        <v>208</v>
      </c>
      <c r="D2" s="175"/>
      <c r="E2" s="175"/>
      <c r="F2" s="2"/>
    </row>
    <row r="3" spans="1:6" x14ac:dyDescent="0.25">
      <c r="C3" s="1"/>
    </row>
    <row r="4" spans="1:6" ht="16.5" customHeight="1" x14ac:dyDescent="0.25">
      <c r="A4" s="176" t="s">
        <v>22</v>
      </c>
      <c r="B4" s="176"/>
      <c r="C4" s="176"/>
      <c r="D4" s="176"/>
      <c r="E4" s="176"/>
    </row>
    <row r="5" spans="1:6" ht="15" customHeight="1" x14ac:dyDescent="0.25">
      <c r="A5" s="176" t="s">
        <v>23</v>
      </c>
      <c r="B5" s="176"/>
      <c r="C5" s="3" t="s">
        <v>29</v>
      </c>
      <c r="D5" s="3" t="s">
        <v>25</v>
      </c>
      <c r="E5" s="8" t="s">
        <v>26</v>
      </c>
    </row>
    <row r="6" spans="1:6" ht="25.5" x14ac:dyDescent="0.25">
      <c r="A6" s="11" t="s">
        <v>2</v>
      </c>
      <c r="B6" s="9" t="s">
        <v>27</v>
      </c>
      <c r="C6" s="5">
        <v>1339.76</v>
      </c>
      <c r="D6" s="4" t="s">
        <v>28</v>
      </c>
      <c r="E6" s="134" t="s">
        <v>230</v>
      </c>
    </row>
    <row r="7" spans="1:6" x14ac:dyDescent="0.25">
      <c r="C7" s="1"/>
    </row>
    <row r="8" spans="1:6" ht="16.5" customHeight="1" x14ac:dyDescent="0.25">
      <c r="A8" s="176" t="s">
        <v>40</v>
      </c>
      <c r="B8" s="176"/>
      <c r="C8" s="176"/>
      <c r="D8" s="176"/>
      <c r="E8" s="176"/>
    </row>
    <row r="9" spans="1:6" x14ac:dyDescent="0.25">
      <c r="C9" s="1"/>
    </row>
    <row r="10" spans="1:6" ht="16.5" customHeight="1" x14ac:dyDescent="0.25">
      <c r="A10" s="161" t="s">
        <v>41</v>
      </c>
      <c r="B10" s="161"/>
      <c r="C10" s="161"/>
      <c r="D10" s="161"/>
      <c r="E10" s="161"/>
    </row>
    <row r="11" spans="1:6" ht="16.5" customHeight="1" x14ac:dyDescent="0.25">
      <c r="A11" s="161" t="s">
        <v>23</v>
      </c>
      <c r="B11" s="161"/>
      <c r="C11" s="15" t="s">
        <v>24</v>
      </c>
      <c r="D11" s="15" t="s">
        <v>25</v>
      </c>
      <c r="E11" s="16" t="s">
        <v>26</v>
      </c>
    </row>
    <row r="12" spans="1:6" x14ac:dyDescent="0.25">
      <c r="A12" s="11" t="s">
        <v>2</v>
      </c>
      <c r="B12" s="9" t="s">
        <v>42</v>
      </c>
      <c r="C12" s="12">
        <v>8.3333333333333301E-2</v>
      </c>
      <c r="D12" s="4" t="s">
        <v>46</v>
      </c>
      <c r="E12" s="9" t="s">
        <v>47</v>
      </c>
    </row>
    <row r="13" spans="1:6" x14ac:dyDescent="0.25">
      <c r="A13" s="11" t="s">
        <v>3</v>
      </c>
      <c r="B13" s="9" t="s">
        <v>43</v>
      </c>
      <c r="C13" s="12">
        <f>C12/3</f>
        <v>2.7777777777777766E-2</v>
      </c>
      <c r="D13" s="4" t="s">
        <v>48</v>
      </c>
      <c r="E13" s="9" t="s">
        <v>49</v>
      </c>
    </row>
    <row r="14" spans="1:6" ht="15" customHeight="1" x14ac:dyDescent="0.25">
      <c r="A14" s="177" t="s">
        <v>50</v>
      </c>
      <c r="B14" s="177"/>
      <c r="C14" s="14">
        <f>SUM(C12:C13)</f>
        <v>0.11111111111111106</v>
      </c>
    </row>
    <row r="15" spans="1:6" ht="26.25" customHeight="1" x14ac:dyDescent="0.25">
      <c r="A15" s="177" t="s">
        <v>51</v>
      </c>
      <c r="B15" s="177"/>
      <c r="C15" s="28">
        <f>C14*C27</f>
        <v>4.4222222222222211E-2</v>
      </c>
    </row>
    <row r="17" spans="1:5" ht="16.5" customHeight="1" x14ac:dyDescent="0.25">
      <c r="A17" s="161" t="s">
        <v>52</v>
      </c>
      <c r="B17" s="161"/>
      <c r="C17" s="161"/>
      <c r="D17" s="161"/>
      <c r="E17" s="161"/>
    </row>
    <row r="18" spans="1:5" ht="16.5" customHeight="1" x14ac:dyDescent="0.25">
      <c r="A18" s="161" t="s">
        <v>23</v>
      </c>
      <c r="B18" s="161"/>
      <c r="C18" s="15" t="s">
        <v>24</v>
      </c>
      <c r="D18" s="15" t="s">
        <v>25</v>
      </c>
      <c r="E18" s="16" t="s">
        <v>26</v>
      </c>
    </row>
    <row r="19" spans="1:5" x14ac:dyDescent="0.25">
      <c r="A19" s="11" t="s">
        <v>2</v>
      </c>
      <c r="B19" s="9" t="s">
        <v>53</v>
      </c>
      <c r="C19" s="12">
        <v>0.2</v>
      </c>
      <c r="D19" s="4" t="s">
        <v>28</v>
      </c>
      <c r="E19" s="9" t="s">
        <v>63</v>
      </c>
    </row>
    <row r="20" spans="1:5" x14ac:dyDescent="0.25">
      <c r="A20" s="11" t="s">
        <v>3</v>
      </c>
      <c r="B20" s="9" t="s">
        <v>54</v>
      </c>
      <c r="C20" s="12">
        <v>2.5000000000000001E-2</v>
      </c>
      <c r="D20" s="4" t="s">
        <v>28</v>
      </c>
      <c r="E20" s="9" t="s">
        <v>64</v>
      </c>
    </row>
    <row r="21" spans="1:5" ht="63.75" x14ac:dyDescent="0.25">
      <c r="A21" s="11" t="s">
        <v>4</v>
      </c>
      <c r="B21" s="9" t="s">
        <v>55</v>
      </c>
      <c r="C21" s="67">
        <v>0.06</v>
      </c>
      <c r="D21" s="4" t="s">
        <v>28</v>
      </c>
      <c r="E21" s="9" t="s">
        <v>74</v>
      </c>
    </row>
    <row r="22" spans="1:5" x14ac:dyDescent="0.25">
      <c r="A22" s="11" t="s">
        <v>5</v>
      </c>
      <c r="B22" s="9" t="s">
        <v>56</v>
      </c>
      <c r="C22" s="12">
        <v>1.4999999999999999E-2</v>
      </c>
      <c r="D22" s="4" t="s">
        <v>28</v>
      </c>
      <c r="E22" s="9" t="s">
        <v>65</v>
      </c>
    </row>
    <row r="23" spans="1:5" x14ac:dyDescent="0.25">
      <c r="A23" s="11" t="s">
        <v>30</v>
      </c>
      <c r="B23" s="9" t="s">
        <v>57</v>
      </c>
      <c r="C23" s="12">
        <v>0.01</v>
      </c>
      <c r="D23" s="4" t="s">
        <v>28</v>
      </c>
      <c r="E23" s="9" t="s">
        <v>66</v>
      </c>
    </row>
    <row r="24" spans="1:5" x14ac:dyDescent="0.25">
      <c r="A24" s="11" t="s">
        <v>31</v>
      </c>
      <c r="B24" s="9" t="s">
        <v>58</v>
      </c>
      <c r="C24" s="12">
        <v>6.0000000000000001E-3</v>
      </c>
      <c r="D24" s="4" t="s">
        <v>28</v>
      </c>
      <c r="E24" s="9" t="s">
        <v>67</v>
      </c>
    </row>
    <row r="25" spans="1:5" x14ac:dyDescent="0.25">
      <c r="A25" s="11" t="s">
        <v>32</v>
      </c>
      <c r="B25" s="9" t="s">
        <v>59</v>
      </c>
      <c r="C25" s="12">
        <v>2E-3</v>
      </c>
      <c r="D25" s="4" t="s">
        <v>28</v>
      </c>
      <c r="E25" s="9" t="s">
        <v>68</v>
      </c>
    </row>
    <row r="26" spans="1:5" x14ac:dyDescent="0.25">
      <c r="A26" s="11" t="s">
        <v>61</v>
      </c>
      <c r="B26" s="9" t="s">
        <v>60</v>
      </c>
      <c r="C26" s="12">
        <v>0.08</v>
      </c>
      <c r="D26" s="4" t="s">
        <v>28</v>
      </c>
      <c r="E26" s="9" t="s">
        <v>69</v>
      </c>
    </row>
    <row r="27" spans="1:5" x14ac:dyDescent="0.25">
      <c r="A27" s="162" t="s">
        <v>62</v>
      </c>
      <c r="B27" s="162"/>
      <c r="C27" s="14">
        <f>SUM(C19:C26)</f>
        <v>0.39800000000000008</v>
      </c>
    </row>
    <row r="29" spans="1:5" ht="36.75" customHeight="1" x14ac:dyDescent="0.25">
      <c r="A29" s="177" t="s">
        <v>136</v>
      </c>
      <c r="B29" s="177"/>
      <c r="C29" s="177"/>
      <c r="D29" s="177"/>
      <c r="E29" s="177"/>
    </row>
    <row r="31" spans="1:5" ht="38.25" customHeight="1" x14ac:dyDescent="0.25">
      <c r="A31" s="178" t="s">
        <v>137</v>
      </c>
      <c r="B31" s="178"/>
      <c r="C31" s="178"/>
      <c r="D31" s="178"/>
      <c r="E31" s="178"/>
    </row>
    <row r="33" spans="1:5" x14ac:dyDescent="0.25">
      <c r="A33" s="161" t="s">
        <v>75</v>
      </c>
      <c r="B33" s="161"/>
      <c r="C33" s="161"/>
      <c r="D33" s="161"/>
      <c r="E33" s="161"/>
    </row>
    <row r="34" spans="1:5" x14ac:dyDescent="0.25">
      <c r="A34" s="161" t="s">
        <v>23</v>
      </c>
      <c r="B34" s="161"/>
      <c r="C34" s="15" t="s">
        <v>24</v>
      </c>
      <c r="D34" s="15" t="s">
        <v>25</v>
      </c>
      <c r="E34" s="16" t="s">
        <v>26</v>
      </c>
    </row>
    <row r="35" spans="1:5" ht="63.75" x14ac:dyDescent="0.25">
      <c r="A35" s="11" t="s">
        <v>2</v>
      </c>
      <c r="B35" s="9" t="s">
        <v>76</v>
      </c>
      <c r="C35" s="29" t="s">
        <v>28</v>
      </c>
      <c r="D35" s="66">
        <f>IF(((C6*0.06)&gt;=(4*2*22)),0,((4*2*22)-(C6*0.06)))</f>
        <v>95.614400000000003</v>
      </c>
      <c r="E35" s="9" t="s">
        <v>82</v>
      </c>
    </row>
    <row r="36" spans="1:5" ht="25.5" x14ac:dyDescent="0.25">
      <c r="A36" s="11" t="s">
        <v>3</v>
      </c>
      <c r="B36" s="9" t="s">
        <v>80</v>
      </c>
      <c r="C36" s="29" t="s">
        <v>28</v>
      </c>
      <c r="D36" s="5">
        <v>412.05</v>
      </c>
      <c r="E36" s="134" t="s">
        <v>230</v>
      </c>
    </row>
    <row r="37" spans="1:5" x14ac:dyDescent="0.25">
      <c r="A37" s="11" t="s">
        <v>4</v>
      </c>
      <c r="B37" s="9" t="s">
        <v>77</v>
      </c>
      <c r="C37" s="29" t="s">
        <v>28</v>
      </c>
      <c r="D37" s="66">
        <f>'MÓDULO 2.3'!C4</f>
        <v>84</v>
      </c>
      <c r="E37" s="9" t="s">
        <v>81</v>
      </c>
    </row>
    <row r="38" spans="1:5" x14ac:dyDescent="0.25">
      <c r="A38" s="11" t="s">
        <v>5</v>
      </c>
      <c r="B38" s="9" t="s">
        <v>78</v>
      </c>
      <c r="C38" s="29" t="s">
        <v>28</v>
      </c>
      <c r="D38" s="4"/>
      <c r="E38" s="9" t="s">
        <v>28</v>
      </c>
    </row>
    <row r="39" spans="1:5" x14ac:dyDescent="0.25">
      <c r="A39" s="11" t="s">
        <v>30</v>
      </c>
      <c r="B39" s="9" t="s">
        <v>79</v>
      </c>
      <c r="C39" s="29" t="s">
        <v>28</v>
      </c>
      <c r="D39" s="66">
        <f>'MÓDULO 2.3'!C5</f>
        <v>7.36</v>
      </c>
      <c r="E39" s="9" t="s">
        <v>81</v>
      </c>
    </row>
    <row r="40" spans="1:5" x14ac:dyDescent="0.25">
      <c r="A40" s="11" t="s">
        <v>31</v>
      </c>
      <c r="B40" s="9" t="s">
        <v>38</v>
      </c>
      <c r="C40" s="29" t="s">
        <v>28</v>
      </c>
      <c r="D40" s="4"/>
      <c r="E40" s="9" t="s">
        <v>28</v>
      </c>
    </row>
    <row r="42" spans="1:5" x14ac:dyDescent="0.25">
      <c r="A42" s="176" t="s">
        <v>92</v>
      </c>
      <c r="B42" s="176"/>
      <c r="C42" s="176"/>
      <c r="D42" s="176"/>
      <c r="E42" s="176"/>
    </row>
    <row r="44" spans="1:5" x14ac:dyDescent="0.25">
      <c r="A44" s="161" t="s">
        <v>93</v>
      </c>
      <c r="B44" s="161"/>
      <c r="C44" s="161"/>
      <c r="D44" s="161"/>
      <c r="E44" s="161"/>
    </row>
    <row r="45" spans="1:5" x14ac:dyDescent="0.25">
      <c r="A45" s="161" t="s">
        <v>23</v>
      </c>
      <c r="B45" s="161"/>
      <c r="C45" s="15" t="s">
        <v>24</v>
      </c>
      <c r="D45" s="15" t="s">
        <v>25</v>
      </c>
      <c r="E45" s="16" t="s">
        <v>26</v>
      </c>
    </row>
    <row r="46" spans="1:5" x14ac:dyDescent="0.25">
      <c r="A46" s="11" t="s">
        <v>2</v>
      </c>
      <c r="B46" s="9" t="s">
        <v>95</v>
      </c>
      <c r="C46" s="30">
        <f>1/12*0.1</f>
        <v>8.3333333333333332E-3</v>
      </c>
      <c r="D46" s="4" t="s">
        <v>97</v>
      </c>
      <c r="E46" s="9" t="s">
        <v>99</v>
      </c>
    </row>
    <row r="47" spans="1:5" ht="25.5" x14ac:dyDescent="0.25">
      <c r="A47" s="11" t="s">
        <v>3</v>
      </c>
      <c r="B47" s="9" t="s">
        <v>96</v>
      </c>
      <c r="C47" s="30">
        <f>C46*0.08</f>
        <v>6.6666666666666664E-4</v>
      </c>
      <c r="D47" s="4" t="s">
        <v>98</v>
      </c>
      <c r="E47" s="9" t="s">
        <v>100</v>
      </c>
    </row>
    <row r="48" spans="1:5" ht="38.25" x14ac:dyDescent="0.25">
      <c r="A48" s="11" t="s">
        <v>4</v>
      </c>
      <c r="B48" s="9" t="s">
        <v>259</v>
      </c>
      <c r="C48" s="30">
        <f>0.08*0.4*0.1*(1+(1/12)+(1/3*1/12))</f>
        <v>3.5555555555555553E-3</v>
      </c>
      <c r="D48" s="9" t="s">
        <v>257</v>
      </c>
      <c r="E48" s="9" t="s">
        <v>101</v>
      </c>
    </row>
    <row r="49" spans="1:5" x14ac:dyDescent="0.25">
      <c r="A49" s="162" t="s">
        <v>94</v>
      </c>
      <c r="B49" s="162"/>
      <c r="C49" s="31">
        <f>SUM(C46:C48)</f>
        <v>1.2555555555555554E-2</v>
      </c>
    </row>
    <row r="51" spans="1:5" ht="39.75" customHeight="1" x14ac:dyDescent="0.25">
      <c r="A51" s="177" t="s">
        <v>254</v>
      </c>
      <c r="B51" s="177"/>
      <c r="C51" s="177"/>
      <c r="D51" s="177"/>
      <c r="E51" s="177"/>
    </row>
    <row r="53" spans="1:5" ht="39.75" customHeight="1" x14ac:dyDescent="0.25">
      <c r="A53" s="177" t="s">
        <v>255</v>
      </c>
      <c r="B53" s="177"/>
      <c r="C53" s="177"/>
      <c r="D53" s="177"/>
      <c r="E53" s="177"/>
    </row>
    <row r="55" spans="1:5" x14ac:dyDescent="0.25">
      <c r="A55" s="161" t="s">
        <v>103</v>
      </c>
      <c r="B55" s="161"/>
      <c r="C55" s="161"/>
      <c r="D55" s="161"/>
      <c r="E55" s="161"/>
    </row>
    <row r="56" spans="1:5" x14ac:dyDescent="0.25">
      <c r="A56" s="161" t="s">
        <v>23</v>
      </c>
      <c r="B56" s="161"/>
      <c r="C56" s="15" t="s">
        <v>24</v>
      </c>
      <c r="D56" s="15" t="s">
        <v>25</v>
      </c>
      <c r="E56" s="16" t="s">
        <v>26</v>
      </c>
    </row>
    <row r="57" spans="1:5" x14ac:dyDescent="0.25">
      <c r="A57" s="11" t="s">
        <v>2</v>
      </c>
      <c r="B57" s="9" t="s">
        <v>104</v>
      </c>
      <c r="C57" s="30">
        <f>(0.9*(7/30)/12)</f>
        <v>1.7500000000000002E-2</v>
      </c>
      <c r="D57" s="4" t="s">
        <v>106</v>
      </c>
      <c r="E57" s="9" t="s">
        <v>99</v>
      </c>
    </row>
    <row r="58" spans="1:5" ht="25.5" x14ac:dyDescent="0.25">
      <c r="A58" s="11" t="s">
        <v>3</v>
      </c>
      <c r="B58" s="9" t="s">
        <v>105</v>
      </c>
      <c r="C58" s="30">
        <f>C57*C27</f>
        <v>6.9650000000000016E-3</v>
      </c>
      <c r="D58" s="9" t="s">
        <v>107</v>
      </c>
      <c r="E58" s="9" t="s">
        <v>100</v>
      </c>
    </row>
    <row r="59" spans="1:5" ht="38.25" x14ac:dyDescent="0.25">
      <c r="A59" s="11" t="s">
        <v>4</v>
      </c>
      <c r="B59" s="9" t="s">
        <v>258</v>
      </c>
      <c r="C59" s="30">
        <f>0.08*0.4*0.9*(1+(1/12)+(1/3*1/12))</f>
        <v>3.2000000000000001E-2</v>
      </c>
      <c r="D59" s="9" t="s">
        <v>256</v>
      </c>
      <c r="E59" s="9" t="s">
        <v>101</v>
      </c>
    </row>
    <row r="60" spans="1:5" x14ac:dyDescent="0.25">
      <c r="A60" s="162" t="s">
        <v>94</v>
      </c>
      <c r="B60" s="162"/>
      <c r="C60" s="31">
        <f>SUM(C57:C59)</f>
        <v>5.6465000000000001E-2</v>
      </c>
    </row>
    <row r="62" spans="1:5" x14ac:dyDescent="0.25">
      <c r="A62" s="177" t="s">
        <v>176</v>
      </c>
      <c r="B62" s="177"/>
      <c r="C62" s="177"/>
      <c r="D62" s="177"/>
      <c r="E62" s="177"/>
    </row>
    <row r="64" spans="1:5" ht="24.75" customHeight="1" x14ac:dyDescent="0.25">
      <c r="A64" s="177" t="s">
        <v>173</v>
      </c>
      <c r="B64" s="177"/>
      <c r="C64" s="177"/>
      <c r="D64" s="177"/>
      <c r="E64" s="177"/>
    </row>
    <row r="66" spans="1:5" x14ac:dyDescent="0.25">
      <c r="A66" s="176" t="s">
        <v>111</v>
      </c>
      <c r="B66" s="176"/>
      <c r="C66" s="176"/>
      <c r="D66" s="176"/>
      <c r="E66" s="176"/>
    </row>
    <row r="68" spans="1:5" x14ac:dyDescent="0.25">
      <c r="A68" s="161" t="s">
        <v>112</v>
      </c>
      <c r="B68" s="161"/>
      <c r="C68" s="161"/>
      <c r="D68" s="161"/>
      <c r="E68" s="161"/>
    </row>
    <row r="69" spans="1:5" x14ac:dyDescent="0.25">
      <c r="A69" s="161" t="s">
        <v>23</v>
      </c>
      <c r="B69" s="161"/>
      <c r="C69" s="15" t="s">
        <v>24</v>
      </c>
      <c r="D69" s="15" t="s">
        <v>25</v>
      </c>
      <c r="E69" s="16" t="s">
        <v>26</v>
      </c>
    </row>
    <row r="70" spans="1:5" x14ac:dyDescent="0.25">
      <c r="A70" s="11" t="s">
        <v>2</v>
      </c>
      <c r="B70" s="9" t="s">
        <v>114</v>
      </c>
      <c r="C70" s="65">
        <f>1/12</f>
        <v>8.3333333333333329E-2</v>
      </c>
      <c r="D70" s="4" t="s">
        <v>46</v>
      </c>
      <c r="E70" s="9" t="s">
        <v>129</v>
      </c>
    </row>
    <row r="71" spans="1:5" ht="25.5" x14ac:dyDescent="0.25">
      <c r="A71" s="11" t="s">
        <v>3</v>
      </c>
      <c r="B71" s="9" t="s">
        <v>115</v>
      </c>
      <c r="C71" s="65">
        <f>C70*C27</f>
        <v>3.3166666666666671E-2</v>
      </c>
      <c r="D71" s="4" t="s">
        <v>28</v>
      </c>
      <c r="E71" s="9" t="s">
        <v>28</v>
      </c>
    </row>
    <row r="72" spans="1:5" x14ac:dyDescent="0.25">
      <c r="A72" s="11" t="s">
        <v>4</v>
      </c>
      <c r="B72" s="9" t="s">
        <v>116</v>
      </c>
      <c r="C72" s="30">
        <f>(1/30)/12</f>
        <v>2.7777777777777779E-3</v>
      </c>
      <c r="D72" s="4" t="s">
        <v>123</v>
      </c>
      <c r="E72" s="9" t="s">
        <v>130</v>
      </c>
    </row>
    <row r="73" spans="1:5" ht="38.25" x14ac:dyDescent="0.25">
      <c r="A73" s="11" t="s">
        <v>5</v>
      </c>
      <c r="B73" s="9" t="s">
        <v>117</v>
      </c>
      <c r="C73" s="30">
        <f>(((0.1344*2+0.0305*2*(252/365)+0.0118*3+0.02*1+0.004*1+0.0016*6)/30)/12)</f>
        <v>1.0553196347031963E-3</v>
      </c>
      <c r="D73" s="9" t="s">
        <v>124</v>
      </c>
      <c r="E73" s="9" t="s">
        <v>131</v>
      </c>
    </row>
    <row r="74" spans="1:5" x14ac:dyDescent="0.25">
      <c r="A74" s="11" t="s">
        <v>30</v>
      </c>
      <c r="B74" s="9" t="s">
        <v>118</v>
      </c>
      <c r="C74" s="30">
        <f>((1*5*(252/365))/30)/12</f>
        <v>9.5890410958904115E-3</v>
      </c>
      <c r="D74" s="4" t="s">
        <v>125</v>
      </c>
      <c r="E74" s="9" t="s">
        <v>132</v>
      </c>
    </row>
    <row r="75" spans="1:5" ht="25.5" x14ac:dyDescent="0.25">
      <c r="A75" s="11" t="s">
        <v>31</v>
      </c>
      <c r="B75" s="9" t="s">
        <v>119</v>
      </c>
      <c r="C75" s="30">
        <f>((5/30)/12)*0.0143*(252/365)</f>
        <v>1.3712328767123287E-4</v>
      </c>
      <c r="D75" s="4" t="s">
        <v>126</v>
      </c>
      <c r="E75" s="9" t="s">
        <v>133</v>
      </c>
    </row>
    <row r="76" spans="1:5" x14ac:dyDescent="0.25">
      <c r="A76" s="11" t="s">
        <v>32</v>
      </c>
      <c r="B76" s="9" t="s">
        <v>120</v>
      </c>
      <c r="C76" s="30">
        <f>((15/30)/12*(0.0922*(252/365)))</f>
        <v>2.6523287671232879E-3</v>
      </c>
      <c r="D76" s="4" t="s">
        <v>127</v>
      </c>
      <c r="E76" s="9" t="s">
        <v>134</v>
      </c>
    </row>
    <row r="77" spans="1:5" ht="25.5" x14ac:dyDescent="0.25">
      <c r="A77" s="11" t="s">
        <v>61</v>
      </c>
      <c r="B77" s="9" t="s">
        <v>121</v>
      </c>
      <c r="C77" s="30">
        <f>((1+(1/3))*((4/12))/12*(0.0197*(252/365)))</f>
        <v>5.0374429223744288E-4</v>
      </c>
      <c r="D77" s="9" t="s">
        <v>128</v>
      </c>
      <c r="E77" s="9" t="s">
        <v>135</v>
      </c>
    </row>
    <row r="78" spans="1:5" ht="25.5" x14ac:dyDescent="0.25">
      <c r="A78" s="11" t="s">
        <v>113</v>
      </c>
      <c r="B78" s="9" t="s">
        <v>122</v>
      </c>
      <c r="C78" s="30">
        <f>SUM(C72:C77)*C27</f>
        <v>6.6527032724505346E-3</v>
      </c>
      <c r="D78" s="4" t="s">
        <v>28</v>
      </c>
      <c r="E78" s="9" t="s">
        <v>28</v>
      </c>
    </row>
    <row r="79" spans="1:5" x14ac:dyDescent="0.25">
      <c r="A79" s="179" t="s">
        <v>94</v>
      </c>
      <c r="B79" s="179"/>
      <c r="C79" s="33">
        <f>SUM(C70:C78)</f>
        <v>0.13986803812785387</v>
      </c>
    </row>
    <row r="81" spans="1:5" ht="38.25" customHeight="1" x14ac:dyDescent="0.25">
      <c r="A81" s="177" t="s">
        <v>138</v>
      </c>
      <c r="B81" s="177"/>
      <c r="C81" s="177"/>
      <c r="D81" s="177"/>
      <c r="E81" s="177"/>
    </row>
    <row r="83" spans="1:5" ht="38.25" customHeight="1" x14ac:dyDescent="0.25">
      <c r="A83" s="177" t="s">
        <v>139</v>
      </c>
      <c r="B83" s="177"/>
      <c r="C83" s="177"/>
      <c r="D83" s="177"/>
      <c r="E83" s="177"/>
    </row>
    <row r="85" spans="1:5" ht="39" customHeight="1" x14ac:dyDescent="0.25">
      <c r="A85" s="177" t="s">
        <v>140</v>
      </c>
      <c r="B85" s="177"/>
      <c r="C85" s="177"/>
      <c r="D85" s="177"/>
      <c r="E85" s="177"/>
    </row>
    <row r="87" spans="1:5" ht="60.75" customHeight="1" x14ac:dyDescent="0.25">
      <c r="A87" s="177" t="s">
        <v>141</v>
      </c>
      <c r="B87" s="177"/>
      <c r="C87" s="177"/>
      <c r="D87" s="177"/>
      <c r="E87" s="177"/>
    </row>
    <row r="89" spans="1:5" ht="43.5" customHeight="1" x14ac:dyDescent="0.25">
      <c r="A89" s="177" t="s">
        <v>142</v>
      </c>
      <c r="B89" s="177"/>
      <c r="C89" s="177"/>
      <c r="D89" s="177"/>
      <c r="E89" s="177"/>
    </row>
    <row r="91" spans="1:5" ht="64.5" customHeight="1" x14ac:dyDescent="0.25">
      <c r="A91" s="177" t="s">
        <v>143</v>
      </c>
      <c r="B91" s="177"/>
      <c r="C91" s="177"/>
      <c r="D91" s="177"/>
      <c r="E91" s="177"/>
    </row>
    <row r="93" spans="1:5" x14ac:dyDescent="0.25">
      <c r="A93" s="161" t="s">
        <v>144</v>
      </c>
      <c r="B93" s="161"/>
      <c r="C93" s="161"/>
      <c r="D93" s="161"/>
      <c r="E93" s="161"/>
    </row>
    <row r="94" spans="1:5" x14ac:dyDescent="0.25">
      <c r="A94" s="161" t="s">
        <v>23</v>
      </c>
      <c r="B94" s="161"/>
      <c r="C94" s="15" t="s">
        <v>24</v>
      </c>
      <c r="D94" s="15" t="s">
        <v>25</v>
      </c>
      <c r="E94" s="16" t="s">
        <v>26</v>
      </c>
    </row>
    <row r="95" spans="1:5" x14ac:dyDescent="0.25">
      <c r="A95" s="11" t="s">
        <v>2</v>
      </c>
      <c r="B95" s="9" t="s">
        <v>145</v>
      </c>
      <c r="C95" s="30"/>
      <c r="D95" s="4"/>
      <c r="E95" s="9"/>
    </row>
    <row r="96" spans="1:5" ht="25.5" x14ac:dyDescent="0.25">
      <c r="A96" s="11" t="s">
        <v>3</v>
      </c>
      <c r="B96" s="9" t="s">
        <v>146</v>
      </c>
      <c r="C96" s="30"/>
      <c r="D96" s="4"/>
      <c r="E96" s="9"/>
    </row>
    <row r="98" spans="1:5" x14ac:dyDescent="0.25">
      <c r="A98" s="176" t="s">
        <v>148</v>
      </c>
      <c r="B98" s="176"/>
      <c r="C98" s="176"/>
      <c r="D98" s="176"/>
      <c r="E98" s="176"/>
    </row>
    <row r="99" spans="1:5" x14ac:dyDescent="0.25">
      <c r="A99" s="176" t="s">
        <v>23</v>
      </c>
      <c r="B99" s="176"/>
      <c r="C99" s="3" t="s">
        <v>24</v>
      </c>
      <c r="D99" s="3" t="s">
        <v>29</v>
      </c>
      <c r="E99" s="8" t="s">
        <v>26</v>
      </c>
    </row>
    <row r="100" spans="1:5" x14ac:dyDescent="0.25">
      <c r="A100" s="11" t="s">
        <v>2</v>
      </c>
      <c r="B100" s="9" t="s">
        <v>149</v>
      </c>
      <c r="C100" s="29"/>
      <c r="D100" s="5">
        <f>'MÓDULO 5'!C6</f>
        <v>69.181666666666672</v>
      </c>
      <c r="E100" s="9" t="s">
        <v>152</v>
      </c>
    </row>
    <row r="101" spans="1:5" x14ac:dyDescent="0.25">
      <c r="A101" s="11" t="s">
        <v>3</v>
      </c>
      <c r="B101" s="9" t="s">
        <v>150</v>
      </c>
      <c r="C101" s="29"/>
      <c r="D101" s="5">
        <f>'MÓDULO 5'!C4</f>
        <v>0</v>
      </c>
      <c r="E101" s="9" t="s">
        <v>152</v>
      </c>
    </row>
    <row r="102" spans="1:5" x14ac:dyDescent="0.25">
      <c r="A102" s="11" t="s">
        <v>4</v>
      </c>
      <c r="B102" s="9" t="s">
        <v>151</v>
      </c>
      <c r="C102" s="29"/>
      <c r="D102" s="5">
        <f>'MÓDULO 5'!C5</f>
        <v>0</v>
      </c>
      <c r="E102" s="9" t="s">
        <v>152</v>
      </c>
    </row>
    <row r="103" spans="1:5" x14ac:dyDescent="0.25">
      <c r="A103" s="11" t="s">
        <v>5</v>
      </c>
      <c r="B103" s="9" t="s">
        <v>228</v>
      </c>
      <c r="C103" s="29"/>
      <c r="D103" s="5">
        <f>'MÓDULO 5'!C7</f>
        <v>6.8341666666666674</v>
      </c>
      <c r="E103" s="9" t="s">
        <v>152</v>
      </c>
    </row>
    <row r="105" spans="1:5" x14ac:dyDescent="0.25">
      <c r="A105" s="176" t="s">
        <v>159</v>
      </c>
      <c r="B105" s="176"/>
      <c r="C105" s="176"/>
      <c r="D105" s="176"/>
      <c r="E105" s="176"/>
    </row>
    <row r="106" spans="1:5" x14ac:dyDescent="0.25">
      <c r="A106" s="176" t="s">
        <v>23</v>
      </c>
      <c r="B106" s="176"/>
      <c r="C106" s="3" t="s">
        <v>24</v>
      </c>
      <c r="D106" s="3" t="s">
        <v>29</v>
      </c>
      <c r="E106" s="8" t="s">
        <v>26</v>
      </c>
    </row>
    <row r="107" spans="1:5" ht="63.75" x14ac:dyDescent="0.25">
      <c r="A107" s="11" t="s">
        <v>2</v>
      </c>
      <c r="B107" s="9" t="s">
        <v>160</v>
      </c>
      <c r="C107" s="30">
        <v>0.03</v>
      </c>
      <c r="D107" s="4" t="s">
        <v>28</v>
      </c>
      <c r="E107" s="9" t="s">
        <v>171</v>
      </c>
    </row>
    <row r="108" spans="1:5" ht="63.75" x14ac:dyDescent="0.25">
      <c r="A108" s="11" t="s">
        <v>3</v>
      </c>
      <c r="B108" s="9" t="s">
        <v>161</v>
      </c>
      <c r="C108" s="30">
        <v>6.7900000000000002E-2</v>
      </c>
      <c r="D108" s="4" t="s">
        <v>28</v>
      </c>
      <c r="E108" s="9" t="s">
        <v>172</v>
      </c>
    </row>
    <row r="109" spans="1:5" x14ac:dyDescent="0.25">
      <c r="A109" s="11" t="s">
        <v>4</v>
      </c>
      <c r="B109" s="13" t="s">
        <v>162</v>
      </c>
      <c r="C109" s="30"/>
      <c r="D109" s="4"/>
      <c r="E109" s="9"/>
    </row>
    <row r="110" spans="1:5" x14ac:dyDescent="0.25">
      <c r="A110" s="11" t="s">
        <v>163</v>
      </c>
      <c r="B110" s="9" t="s">
        <v>166</v>
      </c>
      <c r="C110" s="30">
        <v>9.2499999999999999E-2</v>
      </c>
      <c r="D110" s="4"/>
      <c r="E110" s="9" t="s">
        <v>169</v>
      </c>
    </row>
    <row r="111" spans="1:5" x14ac:dyDescent="0.25">
      <c r="A111" s="11" t="s">
        <v>164</v>
      </c>
      <c r="B111" s="9" t="s">
        <v>167</v>
      </c>
      <c r="C111" s="30"/>
      <c r="D111" s="4"/>
      <c r="E111" s="9"/>
    </row>
    <row r="112" spans="1:5" x14ac:dyDescent="0.25">
      <c r="A112" s="11" t="s">
        <v>165</v>
      </c>
      <c r="B112" s="9" t="s">
        <v>168</v>
      </c>
      <c r="C112" s="30">
        <v>0.05</v>
      </c>
      <c r="D112" s="4"/>
      <c r="E112" s="9" t="s">
        <v>170</v>
      </c>
    </row>
    <row r="114" spans="1:5" x14ac:dyDescent="0.25">
      <c r="A114" s="177" t="s">
        <v>174</v>
      </c>
      <c r="B114" s="177"/>
      <c r="C114" s="177"/>
      <c r="D114" s="177"/>
      <c r="E114" s="177"/>
    </row>
    <row r="116" spans="1:5" x14ac:dyDescent="0.25">
      <c r="A116" s="177" t="s">
        <v>175</v>
      </c>
      <c r="B116" s="177"/>
      <c r="C116" s="177"/>
      <c r="D116" s="177"/>
      <c r="E116" s="177"/>
    </row>
    <row r="118" spans="1:5" x14ac:dyDescent="0.25">
      <c r="A118" s="177" t="s">
        <v>177</v>
      </c>
      <c r="B118" s="177"/>
      <c r="C118" s="177"/>
      <c r="D118" s="177"/>
      <c r="E118" s="177"/>
    </row>
  </sheetData>
  <mergeCells count="46">
    <mergeCell ref="A91:E91"/>
    <mergeCell ref="A118:E118"/>
    <mergeCell ref="A106:B106"/>
    <mergeCell ref="A114:E114"/>
    <mergeCell ref="A116:E116"/>
    <mergeCell ref="A93:E93"/>
    <mergeCell ref="A94:B94"/>
    <mergeCell ref="A98:E98"/>
    <mergeCell ref="A99:B99"/>
    <mergeCell ref="A105:E105"/>
    <mergeCell ref="A81:E81"/>
    <mergeCell ref="A83:E83"/>
    <mergeCell ref="A85:E85"/>
    <mergeCell ref="A87:E87"/>
    <mergeCell ref="A89:E89"/>
    <mergeCell ref="A64:E64"/>
    <mergeCell ref="A66:E66"/>
    <mergeCell ref="A68:E68"/>
    <mergeCell ref="A69:B69"/>
    <mergeCell ref="A79:B79"/>
    <mergeCell ref="A53:E53"/>
    <mergeCell ref="A55:E55"/>
    <mergeCell ref="A56:B56"/>
    <mergeCell ref="A60:B60"/>
    <mergeCell ref="A62:E62"/>
    <mergeCell ref="A15:B15"/>
    <mergeCell ref="A44:E44"/>
    <mergeCell ref="A45:B45"/>
    <mergeCell ref="A49:B49"/>
    <mergeCell ref="A51:E51"/>
    <mergeCell ref="A2:B2"/>
    <mergeCell ref="C2:E2"/>
    <mergeCell ref="A4:E4"/>
    <mergeCell ref="A42:E42"/>
    <mergeCell ref="A5:B5"/>
    <mergeCell ref="A8:E8"/>
    <mergeCell ref="A11:B11"/>
    <mergeCell ref="A10:E10"/>
    <mergeCell ref="A14:B14"/>
    <mergeCell ref="A34:B34"/>
    <mergeCell ref="A17:E17"/>
    <mergeCell ref="A18:B18"/>
    <mergeCell ref="A27:B27"/>
    <mergeCell ref="A29:E29"/>
    <mergeCell ref="A31:E31"/>
    <mergeCell ref="A33:E33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B4862-475B-4D3C-900F-E10CA53046BC}">
  <dimension ref="A2:J11"/>
  <sheetViews>
    <sheetView workbookViewId="0">
      <selection activeCell="C14" sqref="C14"/>
    </sheetView>
  </sheetViews>
  <sheetFormatPr defaultColWidth="9.28515625" defaultRowHeight="12.75" x14ac:dyDescent="0.25"/>
  <cols>
    <col min="1" max="1" width="12.28515625" style="39" customWidth="1"/>
    <col min="2" max="2" width="43.28515625" style="39" customWidth="1"/>
    <col min="3" max="3" width="28.28515625" style="39" customWidth="1"/>
    <col min="4" max="4" width="21" style="39" customWidth="1"/>
    <col min="5" max="5" width="13.7109375" style="39" customWidth="1"/>
    <col min="6" max="7" width="12.28515625" style="39" customWidth="1"/>
    <col min="8" max="9" width="15.28515625" style="39" customWidth="1"/>
    <col min="10" max="1024" width="12.28515625" style="39" customWidth="1"/>
    <col min="1025" max="16384" width="9.28515625" style="39"/>
  </cols>
  <sheetData>
    <row r="2" spans="1:10" ht="29.25" customHeight="1" x14ac:dyDescent="0.25">
      <c r="A2" s="168" t="s">
        <v>75</v>
      </c>
      <c r="B2" s="168"/>
      <c r="C2" s="168"/>
      <c r="D2" s="47"/>
      <c r="E2" s="47"/>
      <c r="F2" s="48"/>
    </row>
    <row r="3" spans="1:10" ht="29.25" customHeight="1" x14ac:dyDescent="0.25">
      <c r="A3" s="53" t="s">
        <v>23</v>
      </c>
      <c r="B3" s="53" t="s">
        <v>44</v>
      </c>
      <c r="C3" s="53" t="s">
        <v>198</v>
      </c>
      <c r="D3" s="49"/>
      <c r="E3" s="49"/>
      <c r="F3" s="49"/>
      <c r="J3" s="42"/>
    </row>
    <row r="4" spans="1:10" ht="29.25" customHeight="1" x14ac:dyDescent="0.25">
      <c r="A4" s="51" t="s">
        <v>4</v>
      </c>
      <c r="B4" s="52" t="str">
        <f>'MEMÓRIA DE CÁLCULO'!B37</f>
        <v>Assistência médica e familiar</v>
      </c>
      <c r="C4" s="64">
        <f>G10</f>
        <v>84</v>
      </c>
      <c r="D4" s="180" t="s">
        <v>207</v>
      </c>
      <c r="E4" s="181"/>
      <c r="F4" s="181"/>
      <c r="G4" s="181"/>
      <c r="H4" s="181"/>
    </row>
    <row r="5" spans="1:10" ht="29.25" customHeight="1" x14ac:dyDescent="0.25">
      <c r="A5" s="51" t="s">
        <v>30</v>
      </c>
      <c r="B5" s="52" t="str">
        <f>'MEMÓRIA DE CÁLCULO'!B39</f>
        <v>Seguro de Vida, Invalidez e Funeral</v>
      </c>
      <c r="C5" s="64">
        <f>G11</f>
        <v>7.36</v>
      </c>
      <c r="D5" s="180" t="s">
        <v>207</v>
      </c>
      <c r="E5" s="181"/>
      <c r="F5" s="181"/>
      <c r="G5" s="181"/>
      <c r="H5" s="181"/>
    </row>
    <row r="6" spans="1:10" x14ac:dyDescent="0.25">
      <c r="A6" s="43"/>
      <c r="D6" s="43"/>
    </row>
    <row r="7" spans="1:10" x14ac:dyDescent="0.25">
      <c r="A7" s="43"/>
      <c r="B7" s="43"/>
      <c r="C7" s="43"/>
      <c r="D7" s="43"/>
    </row>
    <row r="8" spans="1:10" ht="25.5" customHeight="1" x14ac:dyDescent="0.25">
      <c r="A8" s="182" t="s">
        <v>199</v>
      </c>
      <c r="B8" s="183"/>
      <c r="C8" s="183"/>
      <c r="D8" s="183"/>
      <c r="E8" s="183"/>
      <c r="F8" s="183"/>
      <c r="G8" s="183"/>
      <c r="H8" s="183"/>
      <c r="I8" s="184"/>
    </row>
    <row r="9" spans="1:10" ht="25.5" x14ac:dyDescent="0.25">
      <c r="A9" s="40" t="s">
        <v>23</v>
      </c>
      <c r="B9" s="41" t="s">
        <v>44</v>
      </c>
      <c r="C9" s="40" t="s">
        <v>190</v>
      </c>
      <c r="D9" s="40" t="s">
        <v>191</v>
      </c>
      <c r="E9" s="40" t="s">
        <v>212</v>
      </c>
      <c r="F9" s="40" t="s">
        <v>192</v>
      </c>
      <c r="G9" s="40" t="s">
        <v>193</v>
      </c>
      <c r="H9" s="41" t="s">
        <v>194</v>
      </c>
      <c r="I9" s="41" t="s">
        <v>195</v>
      </c>
    </row>
    <row r="10" spans="1:10" ht="26.25" customHeight="1" x14ac:dyDescent="0.25">
      <c r="A10" s="44" t="s">
        <v>4</v>
      </c>
      <c r="B10" s="45" t="s">
        <v>196</v>
      </c>
      <c r="C10" s="38">
        <v>84</v>
      </c>
      <c r="D10" s="38">
        <v>128.41999999999999</v>
      </c>
      <c r="E10" s="38">
        <v>50</v>
      </c>
      <c r="F10" s="129">
        <f>ROUND(AVERAGE(C10:E10),2)</f>
        <v>87.47</v>
      </c>
      <c r="G10" s="130">
        <f>MEDIAN(C10:E10)</f>
        <v>84</v>
      </c>
      <c r="H10" s="44">
        <f>_xlfn.STDEV.P(C10:E10)</f>
        <v>32.108899424026085</v>
      </c>
      <c r="I10" s="46">
        <f>H10/F10</f>
        <v>0.36708470817452937</v>
      </c>
    </row>
    <row r="11" spans="1:10" ht="26.25" customHeight="1" x14ac:dyDescent="0.25">
      <c r="A11" s="44" t="s">
        <v>30</v>
      </c>
      <c r="B11" s="45" t="s">
        <v>197</v>
      </c>
      <c r="C11" s="38">
        <v>7.36</v>
      </c>
      <c r="D11" s="38">
        <v>12.35</v>
      </c>
      <c r="E11" s="38">
        <v>6</v>
      </c>
      <c r="F11" s="129">
        <f>ROUND(AVERAGE(C11:E11),2)</f>
        <v>8.57</v>
      </c>
      <c r="G11" s="130">
        <f>MEDIAN(C11:E11)</f>
        <v>7.36</v>
      </c>
      <c r="H11" s="44">
        <f>_xlfn.STDEV.P(C11:E11)</f>
        <v>2.7299206337669712</v>
      </c>
      <c r="I11" s="46">
        <f>H11/F11</f>
        <v>0.31854383124468744</v>
      </c>
    </row>
  </sheetData>
  <mergeCells count="4">
    <mergeCell ref="A2:C2"/>
    <mergeCell ref="D4:H4"/>
    <mergeCell ref="D5:H5"/>
    <mergeCell ref="A8:I8"/>
  </mergeCells>
  <pageMargins left="0" right="0" top="0.39370078740157483" bottom="0.39370078740157483" header="0" footer="0"/>
  <pageSetup paperSize="9" fitToWidth="0" fitToHeight="0" pageOrder="overThenDown" orientation="portrait" r:id="rId1"/>
  <headerFooter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B7F04-6EA2-4BE2-ABBA-A3543957FB55}">
  <dimension ref="A1:AMJ42"/>
  <sheetViews>
    <sheetView topLeftCell="A10" zoomScale="85" zoomScaleNormal="85" workbookViewId="0">
      <selection activeCell="H46" sqref="H46"/>
    </sheetView>
  </sheetViews>
  <sheetFormatPr defaultColWidth="9.28515625" defaultRowHeight="14.25" x14ac:dyDescent="0.2"/>
  <cols>
    <col min="1" max="1" width="6.42578125" style="71" customWidth="1"/>
    <col min="2" max="2" width="75.7109375" style="85" customWidth="1"/>
    <col min="3" max="3" width="22.42578125" style="71" customWidth="1"/>
    <col min="4" max="5" width="22.5703125" style="71" customWidth="1"/>
    <col min="6" max="7" width="15.7109375" style="86" customWidth="1"/>
    <col min="8" max="8" width="18" style="86" customWidth="1"/>
    <col min="9" max="10" width="14.28515625" style="86" bestFit="1" customWidth="1"/>
    <col min="11" max="11" width="11.5703125" style="86" customWidth="1"/>
    <col min="12" max="12" width="16.42578125" style="69" customWidth="1"/>
    <col min="13" max="13" width="15.7109375" style="70" customWidth="1"/>
    <col min="14" max="14" width="16.28515625" style="70" customWidth="1"/>
    <col min="15" max="15" width="17.28515625" style="70" customWidth="1"/>
    <col min="16" max="1024" width="9.28515625" style="71"/>
    <col min="1025" max="16384" width="9.28515625" style="68"/>
  </cols>
  <sheetData>
    <row r="1" spans="1:14" ht="25.5" customHeight="1" x14ac:dyDescent="0.2">
      <c r="A1" s="187" t="s">
        <v>202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4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4" ht="28.5" x14ac:dyDescent="0.2">
      <c r="A3" s="72"/>
      <c r="B3" s="73" t="s">
        <v>200</v>
      </c>
      <c r="C3" s="73" t="s">
        <v>210</v>
      </c>
      <c r="D3" s="72"/>
      <c r="E3" s="72"/>
      <c r="F3" s="72"/>
      <c r="G3" s="72"/>
      <c r="H3" s="72"/>
      <c r="I3" s="72"/>
      <c r="J3" s="72"/>
      <c r="K3" s="72"/>
    </row>
    <row r="4" spans="1:14" x14ac:dyDescent="0.2">
      <c r="A4" s="72"/>
      <c r="B4" s="74" t="s">
        <v>150</v>
      </c>
      <c r="C4" s="75">
        <v>0</v>
      </c>
      <c r="D4" s="188" t="s">
        <v>207</v>
      </c>
      <c r="E4" s="189"/>
      <c r="F4" s="189"/>
      <c r="G4" s="189"/>
      <c r="H4" s="189"/>
      <c r="I4" s="72"/>
      <c r="J4" s="72"/>
      <c r="K4" s="72"/>
    </row>
    <row r="5" spans="1:14" x14ac:dyDescent="0.2">
      <c r="A5" s="72"/>
      <c r="B5" s="74" t="s">
        <v>151</v>
      </c>
      <c r="C5" s="75">
        <v>0</v>
      </c>
      <c r="D5" s="188" t="s">
        <v>207</v>
      </c>
      <c r="E5" s="189"/>
      <c r="F5" s="189"/>
      <c r="G5" s="189"/>
      <c r="H5" s="189"/>
      <c r="I5" s="72"/>
      <c r="J5" s="72"/>
      <c r="K5" s="72"/>
    </row>
    <row r="6" spans="1:14" x14ac:dyDescent="0.2">
      <c r="A6" s="72"/>
      <c r="B6" s="74" t="s">
        <v>149</v>
      </c>
      <c r="C6" s="75">
        <f>E29</f>
        <v>69.181666666666672</v>
      </c>
      <c r="D6" s="188" t="s">
        <v>207</v>
      </c>
      <c r="E6" s="189"/>
      <c r="F6" s="189"/>
      <c r="G6" s="189"/>
      <c r="H6" s="189"/>
      <c r="I6" s="72"/>
      <c r="J6" s="72"/>
      <c r="K6" s="72"/>
    </row>
    <row r="7" spans="1:14" x14ac:dyDescent="0.2">
      <c r="A7" s="72"/>
      <c r="B7" s="74" t="s">
        <v>211</v>
      </c>
      <c r="C7" s="76">
        <f>E42</f>
        <v>6.8341666666666674</v>
      </c>
      <c r="D7" s="188" t="s">
        <v>207</v>
      </c>
      <c r="E7" s="189"/>
      <c r="F7" s="189"/>
      <c r="G7" s="189"/>
      <c r="H7" s="189"/>
      <c r="I7" s="72"/>
      <c r="J7" s="72"/>
      <c r="K7" s="72"/>
    </row>
    <row r="8" spans="1:14" x14ac:dyDescent="0.2">
      <c r="A8" s="77"/>
      <c r="B8" s="78"/>
      <c r="C8" s="79"/>
      <c r="D8" s="80"/>
      <c r="E8" s="81"/>
      <c r="F8" s="82"/>
      <c r="G8" s="82"/>
      <c r="H8" s="82"/>
      <c r="I8" s="83"/>
      <c r="J8" s="83"/>
      <c r="K8" s="83"/>
      <c r="L8" s="84"/>
    </row>
    <row r="9" spans="1:14" ht="15.75" customHeight="1" x14ac:dyDescent="0.2">
      <c r="K9" s="87"/>
    </row>
    <row r="10" spans="1:14" ht="15.75" customHeight="1" x14ac:dyDescent="0.2">
      <c r="A10" s="186" t="s">
        <v>149</v>
      </c>
      <c r="B10" s="186"/>
      <c r="C10" s="186"/>
      <c r="D10" s="186"/>
      <c r="E10" s="186"/>
      <c r="F10" s="186"/>
      <c r="G10" s="186"/>
      <c r="H10" s="186"/>
      <c r="I10" s="186"/>
      <c r="K10" s="87"/>
    </row>
    <row r="11" spans="1:14" ht="47.25" customHeight="1" x14ac:dyDescent="0.2">
      <c r="A11" s="88" t="s">
        <v>23</v>
      </c>
      <c r="B11" s="88" t="s">
        <v>44</v>
      </c>
      <c r="C11" s="89" t="s">
        <v>190</v>
      </c>
      <c r="D11" s="89" t="s">
        <v>191</v>
      </c>
      <c r="E11" s="89" t="s">
        <v>212</v>
      </c>
      <c r="F11" s="89" t="s">
        <v>213</v>
      </c>
      <c r="G11" s="89" t="s">
        <v>193</v>
      </c>
      <c r="H11" s="89" t="s">
        <v>194</v>
      </c>
      <c r="I11" s="88" t="s">
        <v>195</v>
      </c>
      <c r="K11" s="185" t="s">
        <v>219</v>
      </c>
      <c r="L11" s="185"/>
      <c r="M11" s="185"/>
      <c r="N11" s="185"/>
    </row>
    <row r="12" spans="1:14" x14ac:dyDescent="0.2">
      <c r="A12" s="89">
        <v>1</v>
      </c>
      <c r="B12" s="90" t="s">
        <v>214</v>
      </c>
      <c r="C12" s="91">
        <v>35</v>
      </c>
      <c r="D12" s="91">
        <v>38.75</v>
      </c>
      <c r="E12" s="91">
        <v>39.74</v>
      </c>
      <c r="F12" s="92">
        <f>ROUND(AVERAGE(C12:E12),2)</f>
        <v>37.83</v>
      </c>
      <c r="G12" s="91">
        <f t="shared" ref="G12:G18" si="0">MEDIAN(C12:E12)</f>
        <v>38.75</v>
      </c>
      <c r="H12" s="93">
        <f t="shared" ref="H12:H18" si="1">_xlfn.STDEV.P(C12:E12)</f>
        <v>2.0415190422819971</v>
      </c>
      <c r="I12" s="94">
        <f t="shared" ref="I12:I18" si="2">H12/F12</f>
        <v>5.3965610422468863E-2</v>
      </c>
      <c r="K12" s="95">
        <v>1</v>
      </c>
      <c r="L12" s="96">
        <f>C12/AVERAGE(D12:E12)</f>
        <v>0.89183335456746071</v>
      </c>
      <c r="M12" s="96">
        <f>D12/AVERAGE(C12,E12)</f>
        <v>1.0369280171260369</v>
      </c>
      <c r="N12" s="96">
        <f>E12/AVERAGE(C12:D12)</f>
        <v>1.0776949152542374</v>
      </c>
    </row>
    <row r="13" spans="1:14" x14ac:dyDescent="0.2">
      <c r="A13" s="88">
        <v>2</v>
      </c>
      <c r="B13" s="90" t="s">
        <v>215</v>
      </c>
      <c r="C13" s="91">
        <v>54.7</v>
      </c>
      <c r="D13" s="91">
        <v>44.18</v>
      </c>
      <c r="E13" s="91">
        <v>44.99</v>
      </c>
      <c r="F13" s="92">
        <f t="shared" ref="F13:F18" si="3">ROUND(AVERAGE(C13:E13),2)</f>
        <v>47.96</v>
      </c>
      <c r="G13" s="91">
        <f t="shared" si="0"/>
        <v>44.99</v>
      </c>
      <c r="H13" s="93">
        <f t="shared" si="1"/>
        <v>4.7797094286391753</v>
      </c>
      <c r="I13" s="94">
        <f t="shared" si="2"/>
        <v>9.9660330038348108E-2</v>
      </c>
      <c r="K13" s="97">
        <v>2</v>
      </c>
      <c r="L13" s="96">
        <f>C13/AVERAGE(D13:E13)</f>
        <v>1.2268700235505214</v>
      </c>
      <c r="M13" s="96">
        <f>D13/AVERAGE(C13,E13)</f>
        <v>0.88634767780118373</v>
      </c>
      <c r="N13" s="96">
        <f>E13/AVERAGE(C13:D13)</f>
        <v>0.90999190938511332</v>
      </c>
    </row>
    <row r="14" spans="1:14" x14ac:dyDescent="0.2">
      <c r="A14" s="88">
        <v>3</v>
      </c>
      <c r="B14" s="90" t="s">
        <v>216</v>
      </c>
      <c r="C14" s="91">
        <v>18</v>
      </c>
      <c r="D14" s="91">
        <v>18.420000000000002</v>
      </c>
      <c r="E14" s="91">
        <v>12.68</v>
      </c>
      <c r="F14" s="92">
        <f t="shared" si="3"/>
        <v>16.37</v>
      </c>
      <c r="G14" s="91">
        <f t="shared" si="0"/>
        <v>18</v>
      </c>
      <c r="H14" s="93">
        <f t="shared" si="1"/>
        <v>2.6124998670919655</v>
      </c>
      <c r="I14" s="94">
        <f t="shared" si="2"/>
        <v>0.15959070660305225</v>
      </c>
      <c r="K14" s="97">
        <v>3</v>
      </c>
      <c r="L14" s="96">
        <f>C14/AVERAGE(D14:E14)</f>
        <v>1.157556270096463</v>
      </c>
      <c r="M14" s="96">
        <f>D14/AVERAGE(C14,E14)</f>
        <v>1.2007822685788789</v>
      </c>
      <c r="N14" s="96">
        <f>E14/AVERAGE(C14:D14)</f>
        <v>0.69632070291048864</v>
      </c>
    </row>
    <row r="15" spans="1:14" x14ac:dyDescent="0.2">
      <c r="A15" s="88">
        <v>4</v>
      </c>
      <c r="B15" s="90" t="s">
        <v>217</v>
      </c>
      <c r="C15" s="91">
        <v>56.66</v>
      </c>
      <c r="D15" s="91">
        <v>45.9</v>
      </c>
      <c r="E15" s="91">
        <v>47.98</v>
      </c>
      <c r="F15" s="92">
        <f t="shared" si="3"/>
        <v>50.18</v>
      </c>
      <c r="G15" s="91">
        <f t="shared" si="0"/>
        <v>47.98</v>
      </c>
      <c r="H15" s="93">
        <f t="shared" si="1"/>
        <v>4.6600715302092368</v>
      </c>
      <c r="I15" s="94">
        <f t="shared" si="2"/>
        <v>9.2867109011742457E-2</v>
      </c>
      <c r="K15" s="97">
        <v>4</v>
      </c>
      <c r="L15" s="96">
        <f>C15/AVERAGE(D15:E15)</f>
        <v>1.2070728589688964</v>
      </c>
      <c r="M15" s="96">
        <f>D15/AVERAGE(C15,E15)</f>
        <v>0.87729357798165142</v>
      </c>
      <c r="N15" s="96">
        <f>E15/AVERAGE(C15:D15)</f>
        <v>0.93564742589703576</v>
      </c>
    </row>
    <row r="16" spans="1:14" x14ac:dyDescent="0.2">
      <c r="A16" s="89">
        <v>5</v>
      </c>
      <c r="B16" s="97" t="s">
        <v>218</v>
      </c>
      <c r="C16" s="98">
        <v>14.56</v>
      </c>
      <c r="D16" s="98">
        <v>17</v>
      </c>
      <c r="E16" s="98">
        <v>16</v>
      </c>
      <c r="F16" s="92">
        <f t="shared" si="3"/>
        <v>15.85</v>
      </c>
      <c r="G16" s="91">
        <f t="shared" si="0"/>
        <v>16</v>
      </c>
      <c r="H16" s="93">
        <f t="shared" si="1"/>
        <v>1.0015099711047424</v>
      </c>
      <c r="I16" s="94">
        <f t="shared" si="2"/>
        <v>6.3186748965598893E-2</v>
      </c>
      <c r="K16" s="99">
        <v>5</v>
      </c>
      <c r="L16" s="96">
        <f>C16/AVERAGE(D16:E16)</f>
        <v>0.88242424242424244</v>
      </c>
      <c r="M16" s="96">
        <f>D16/AVERAGE(C16,E16)</f>
        <v>1.1125654450261779</v>
      </c>
      <c r="N16" s="96">
        <f>E16/AVERAGE(C16:D16)</f>
        <v>1.0139416983523446</v>
      </c>
    </row>
    <row r="17" spans="1:14" x14ac:dyDescent="0.2">
      <c r="A17" s="88">
        <v>6</v>
      </c>
      <c r="B17" s="100" t="s">
        <v>220</v>
      </c>
      <c r="C17" s="101">
        <v>1.06</v>
      </c>
      <c r="D17" s="101">
        <v>1.1000000000000001</v>
      </c>
      <c r="E17" s="101">
        <v>1.26</v>
      </c>
      <c r="F17" s="92">
        <f t="shared" si="3"/>
        <v>1.1399999999999999</v>
      </c>
      <c r="G17" s="91">
        <f t="shared" si="0"/>
        <v>1.1000000000000001</v>
      </c>
      <c r="H17" s="93">
        <f t="shared" si="1"/>
        <v>8.640987597877145E-2</v>
      </c>
      <c r="I17" s="94">
        <f t="shared" si="2"/>
        <v>7.5798136823483728E-2</v>
      </c>
      <c r="K17" s="97">
        <v>6</v>
      </c>
      <c r="L17" s="102">
        <v>0.89830508474576265</v>
      </c>
      <c r="M17" s="103">
        <v>0.94827586206896552</v>
      </c>
      <c r="N17" s="103">
        <v>1.1666666666666665</v>
      </c>
    </row>
    <row r="18" spans="1:14" x14ac:dyDescent="0.2">
      <c r="A18" s="89">
        <v>7</v>
      </c>
      <c r="B18" s="93" t="s">
        <v>229</v>
      </c>
      <c r="C18" s="101">
        <v>59.02</v>
      </c>
      <c r="D18" s="101">
        <v>65</v>
      </c>
      <c r="E18" s="101">
        <v>60.96</v>
      </c>
      <c r="F18" s="92">
        <f t="shared" si="3"/>
        <v>61.66</v>
      </c>
      <c r="G18" s="91">
        <f t="shared" si="0"/>
        <v>60.96</v>
      </c>
      <c r="H18" s="93">
        <f t="shared" si="1"/>
        <v>2.4909971229743846</v>
      </c>
      <c r="I18" s="94">
        <f t="shared" si="2"/>
        <v>4.0398915390437634E-2</v>
      </c>
      <c r="K18" s="131"/>
      <c r="L18" s="132"/>
      <c r="M18" s="133"/>
      <c r="N18" s="133"/>
    </row>
    <row r="19" spans="1:14" x14ac:dyDescent="0.2">
      <c r="F19" s="104"/>
      <c r="G19" s="104"/>
      <c r="H19" s="104"/>
      <c r="I19" s="104"/>
    </row>
    <row r="20" spans="1:14" ht="28.5" x14ac:dyDescent="0.2">
      <c r="A20" s="105" t="s">
        <v>23</v>
      </c>
      <c r="B20" s="106" t="s">
        <v>44</v>
      </c>
      <c r="C20" s="107" t="s">
        <v>224</v>
      </c>
      <c r="D20" s="108" t="s">
        <v>225</v>
      </c>
      <c r="E20" s="108" t="s">
        <v>226</v>
      </c>
      <c r="F20" s="108"/>
      <c r="G20" s="104"/>
      <c r="H20" s="104"/>
      <c r="I20" s="104"/>
    </row>
    <row r="21" spans="1:14" x14ac:dyDescent="0.2">
      <c r="A21" s="105">
        <v>1</v>
      </c>
      <c r="B21" s="109" t="str">
        <f t="shared" ref="B21:B27" si="4">B12</f>
        <v>Camisa</v>
      </c>
      <c r="C21" s="107" t="s">
        <v>28</v>
      </c>
      <c r="D21" s="110">
        <v>4</v>
      </c>
      <c r="E21" s="111">
        <f t="shared" ref="E21:E27" si="5">D21*F12</f>
        <v>151.32</v>
      </c>
      <c r="F21" s="108"/>
      <c r="G21" s="104"/>
      <c r="H21" s="104"/>
      <c r="I21" s="104"/>
    </row>
    <row r="22" spans="1:14" x14ac:dyDescent="0.2">
      <c r="A22" s="105">
        <v>2</v>
      </c>
      <c r="B22" s="109" t="str">
        <f t="shared" si="4"/>
        <v>Calça</v>
      </c>
      <c r="C22" s="107" t="s">
        <v>28</v>
      </c>
      <c r="D22" s="110">
        <v>4</v>
      </c>
      <c r="E22" s="111">
        <f t="shared" si="5"/>
        <v>191.84</v>
      </c>
      <c r="F22" s="108"/>
      <c r="G22" s="112"/>
      <c r="H22" s="112"/>
      <c r="I22" s="112"/>
    </row>
    <row r="23" spans="1:14" x14ac:dyDescent="0.2">
      <c r="A23" s="105">
        <v>3</v>
      </c>
      <c r="B23" s="109" t="str">
        <f t="shared" si="4"/>
        <v>Par de Meias</v>
      </c>
      <c r="C23" s="107" t="s">
        <v>28</v>
      </c>
      <c r="D23" s="110">
        <v>4</v>
      </c>
      <c r="E23" s="111">
        <f>D23*G14</f>
        <v>72</v>
      </c>
      <c r="F23" s="108"/>
    </row>
    <row r="24" spans="1:14" x14ac:dyDescent="0.2">
      <c r="A24" s="105">
        <v>4</v>
      </c>
      <c r="B24" s="109" t="str">
        <f t="shared" si="4"/>
        <v>Botina em borracha, bico arredondado, cor preta</v>
      </c>
      <c r="C24" s="107" t="s">
        <v>28</v>
      </c>
      <c r="D24" s="110">
        <v>2</v>
      </c>
      <c r="E24" s="111">
        <f t="shared" si="5"/>
        <v>100.36</v>
      </c>
      <c r="F24" s="108"/>
    </row>
    <row r="25" spans="1:14" ht="28.5" x14ac:dyDescent="0.2">
      <c r="A25" s="105">
        <v>5</v>
      </c>
      <c r="B25" s="109" t="str">
        <f t="shared" si="4"/>
        <v>Luvas de segurança, confeccionada com material resistente e antiderrapante</v>
      </c>
      <c r="C25" s="107" t="s">
        <v>28</v>
      </c>
      <c r="D25" s="113">
        <v>12</v>
      </c>
      <c r="E25" s="111">
        <f t="shared" si="5"/>
        <v>190.2</v>
      </c>
      <c r="F25" s="108"/>
    </row>
    <row r="26" spans="1:14" x14ac:dyDescent="0.2">
      <c r="A26" s="105">
        <v>6</v>
      </c>
      <c r="B26" s="114" t="str">
        <f t="shared" si="4"/>
        <v xml:space="preserve">Crachá </v>
      </c>
      <c r="C26" s="107" t="s">
        <v>28</v>
      </c>
      <c r="D26" s="110">
        <v>1</v>
      </c>
      <c r="E26" s="115">
        <f t="shared" si="5"/>
        <v>1.1399999999999999</v>
      </c>
      <c r="F26" s="108"/>
    </row>
    <row r="27" spans="1:14" x14ac:dyDescent="0.2">
      <c r="A27" s="105">
        <v>7</v>
      </c>
      <c r="B27" s="114" t="str">
        <f t="shared" si="4"/>
        <v>Cinto de Couro</v>
      </c>
      <c r="C27" s="107"/>
      <c r="D27" s="110">
        <v>2</v>
      </c>
      <c r="E27" s="115">
        <f t="shared" si="5"/>
        <v>123.32</v>
      </c>
      <c r="F27" s="117"/>
    </row>
    <row r="28" spans="1:14" x14ac:dyDescent="0.2">
      <c r="A28" s="190" t="s">
        <v>227</v>
      </c>
      <c r="B28" s="190"/>
      <c r="C28" s="190"/>
      <c r="D28" s="190"/>
      <c r="E28" s="116">
        <f>SUM(E21:E27)</f>
        <v>830.18000000000006</v>
      </c>
      <c r="F28" s="117"/>
    </row>
    <row r="29" spans="1:14" x14ac:dyDescent="0.2">
      <c r="A29" s="190" t="s">
        <v>201</v>
      </c>
      <c r="B29" s="190"/>
      <c r="C29" s="190"/>
      <c r="D29" s="190"/>
      <c r="E29" s="116">
        <f>E28/12</f>
        <v>69.181666666666672</v>
      </c>
      <c r="F29" s="117"/>
    </row>
    <row r="30" spans="1:14" x14ac:dyDescent="0.2">
      <c r="A30" s="118"/>
      <c r="B30" s="119"/>
      <c r="C30" s="120"/>
      <c r="D30" s="120"/>
      <c r="E30" s="121"/>
      <c r="F30" s="117"/>
    </row>
    <row r="31" spans="1:14" x14ac:dyDescent="0.2">
      <c r="A31" s="186" t="s">
        <v>211</v>
      </c>
      <c r="B31" s="186"/>
      <c r="C31" s="186"/>
      <c r="D31" s="186"/>
      <c r="E31" s="186"/>
      <c r="F31" s="186"/>
      <c r="G31" s="186"/>
      <c r="H31" s="186"/>
      <c r="I31" s="186"/>
    </row>
    <row r="32" spans="1:14" ht="42.75" x14ac:dyDescent="0.2">
      <c r="A32" s="89" t="s">
        <v>23</v>
      </c>
      <c r="B32" s="88" t="s">
        <v>44</v>
      </c>
      <c r="C32" s="89" t="s">
        <v>190</v>
      </c>
      <c r="D32" s="89" t="s">
        <v>191</v>
      </c>
      <c r="E32" s="89" t="s">
        <v>212</v>
      </c>
      <c r="F32" s="89" t="s">
        <v>213</v>
      </c>
      <c r="G32" s="89" t="s">
        <v>193</v>
      </c>
      <c r="H32" s="89" t="s">
        <v>194</v>
      </c>
      <c r="I32" s="88" t="s">
        <v>195</v>
      </c>
      <c r="K32" s="185" t="s">
        <v>219</v>
      </c>
      <c r="L32" s="185"/>
      <c r="M32" s="185"/>
      <c r="N32" s="185"/>
    </row>
    <row r="33" spans="1:14" x14ac:dyDescent="0.2">
      <c r="A33" s="89">
        <v>1</v>
      </c>
      <c r="B33" s="90" t="s">
        <v>221</v>
      </c>
      <c r="C33" s="98">
        <v>48.95</v>
      </c>
      <c r="D33" s="98">
        <v>47.3</v>
      </c>
      <c r="E33" s="98">
        <v>52.3</v>
      </c>
      <c r="F33" s="92">
        <f>ROUND(AVERAGE(C33:E33),2)</f>
        <v>49.52</v>
      </c>
      <c r="G33" s="91">
        <f>MEDIAN(C33:E33)</f>
        <v>48.95</v>
      </c>
      <c r="H33" s="93">
        <f>_xlfn.STDEV.P(C33:E33)</f>
        <v>2.0801976401828313</v>
      </c>
      <c r="I33" s="94">
        <f>H33/F33</f>
        <v>4.2007222136163792E-2</v>
      </c>
      <c r="K33" s="95">
        <v>1</v>
      </c>
      <c r="L33" s="122">
        <f>C33/AVERAGE(D33:E33)</f>
        <v>0.98293172690763064</v>
      </c>
      <c r="M33" s="122">
        <f>D33/AVERAGE(C33,E33)</f>
        <v>0.93432098765432092</v>
      </c>
      <c r="N33" s="122">
        <f>E33/AVERAGE(C33:D33)</f>
        <v>1.0867532467532468</v>
      </c>
    </row>
    <row r="34" spans="1:14" x14ac:dyDescent="0.2">
      <c r="A34" s="88">
        <v>2</v>
      </c>
      <c r="B34" s="90" t="s">
        <v>222</v>
      </c>
      <c r="C34" s="91">
        <v>4.75</v>
      </c>
      <c r="D34" s="91">
        <v>4.57</v>
      </c>
      <c r="E34" s="91">
        <v>4.1399999999999997</v>
      </c>
      <c r="F34" s="128">
        <f>ROUND(AVERAGE(C34:E34),2)</f>
        <v>4.49</v>
      </c>
      <c r="G34" s="123">
        <f>MEDIAN(C34:E34)</f>
        <v>4.57</v>
      </c>
      <c r="H34" s="93">
        <f>_xlfn.STDEV.P(C34:E34)</f>
        <v>0.25590796956892331</v>
      </c>
      <c r="I34" s="94">
        <f>H34/F34</f>
        <v>5.6995093445194496E-2</v>
      </c>
      <c r="K34" s="97">
        <v>2</v>
      </c>
      <c r="L34" s="124">
        <f>C34/AVERAGE(D34:E34)</f>
        <v>1.0907003444316876</v>
      </c>
      <c r="M34" s="124">
        <f>D34/AVERAGE(C34,E34)</f>
        <v>1.0281214848143982</v>
      </c>
      <c r="N34" s="124">
        <f>E34/AVERAGE(C34:D34)</f>
        <v>0.88841201716738183</v>
      </c>
    </row>
    <row r="35" spans="1:14" x14ac:dyDescent="0.2">
      <c r="A35" s="88">
        <v>3</v>
      </c>
      <c r="B35" s="90" t="s">
        <v>223</v>
      </c>
      <c r="C35" s="91">
        <v>14.5</v>
      </c>
      <c r="D35" s="91">
        <v>10.5</v>
      </c>
      <c r="E35" s="91">
        <v>14</v>
      </c>
      <c r="F35" s="92">
        <f>ROUND(AVERAGE(C35:E35),2)</f>
        <v>13</v>
      </c>
      <c r="G35" s="91">
        <f>MEDIAN(C35:E35)</f>
        <v>14</v>
      </c>
      <c r="H35" s="93">
        <f>_xlfn.STDEV.P(C35:E35)</f>
        <v>1.7795130420052185</v>
      </c>
      <c r="I35" s="94">
        <f>H35/F35</f>
        <v>0.13688561861578605</v>
      </c>
      <c r="K35" s="97">
        <v>3</v>
      </c>
      <c r="L35" s="124">
        <f>C35/AVERAGE(D35:E35)</f>
        <v>1.1836734693877551</v>
      </c>
      <c r="M35" s="124">
        <f>D35/AVERAGE(C35,E35)</f>
        <v>0.73684210526315785</v>
      </c>
      <c r="N35" s="124">
        <f>E35/AVERAGE(C35:D35)</f>
        <v>1.1200000000000001</v>
      </c>
    </row>
    <row r="36" spans="1:14" ht="15.75" customHeight="1" x14ac:dyDescent="0.2">
      <c r="F36" s="125"/>
      <c r="G36" s="126"/>
      <c r="H36" s="104"/>
      <c r="I36" s="127"/>
    </row>
    <row r="37" spans="1:14" ht="28.5" x14ac:dyDescent="0.2">
      <c r="A37" s="105" t="s">
        <v>23</v>
      </c>
      <c r="B37" s="106" t="s">
        <v>44</v>
      </c>
      <c r="C37" s="107" t="s">
        <v>224</v>
      </c>
      <c r="D37" s="108" t="s">
        <v>225</v>
      </c>
      <c r="E37" s="108" t="s">
        <v>226</v>
      </c>
      <c r="F37" s="125"/>
      <c r="G37" s="126"/>
      <c r="H37" s="104"/>
      <c r="I37" s="127"/>
    </row>
    <row r="38" spans="1:14" x14ac:dyDescent="0.2">
      <c r="A38" s="105">
        <v>1</v>
      </c>
      <c r="B38" s="109" t="str">
        <f>B33</f>
        <v xml:space="preserve">Cinta Lombar </v>
      </c>
      <c r="C38" s="107" t="s">
        <v>28</v>
      </c>
      <c r="D38" s="110">
        <v>1</v>
      </c>
      <c r="E38" s="111">
        <f>D38*F33</f>
        <v>49.52</v>
      </c>
      <c r="F38" s="104"/>
      <c r="G38" s="104"/>
      <c r="H38" s="104"/>
      <c r="I38" s="104"/>
    </row>
    <row r="39" spans="1:14" x14ac:dyDescent="0.2">
      <c r="A39" s="105">
        <v>2</v>
      </c>
      <c r="B39" s="109" t="str">
        <f t="shared" ref="B39:B40" si="6">B34</f>
        <v>Óculos de proteção individual</v>
      </c>
      <c r="C39" s="107" t="s">
        <v>28</v>
      </c>
      <c r="D39" s="110">
        <v>1</v>
      </c>
      <c r="E39" s="111">
        <f t="shared" ref="E39" si="7">D39*F34</f>
        <v>4.49</v>
      </c>
    </row>
    <row r="40" spans="1:14" x14ac:dyDescent="0.2">
      <c r="A40" s="105">
        <v>3</v>
      </c>
      <c r="B40" s="109" t="str">
        <f t="shared" si="6"/>
        <v>Protetor auricular</v>
      </c>
      <c r="C40" s="107" t="s">
        <v>28</v>
      </c>
      <c r="D40" s="110">
        <v>2</v>
      </c>
      <c r="E40" s="111">
        <f>D40*G35</f>
        <v>28</v>
      </c>
    </row>
    <row r="41" spans="1:14" x14ac:dyDescent="0.2">
      <c r="A41" s="190" t="s">
        <v>227</v>
      </c>
      <c r="B41" s="190"/>
      <c r="C41" s="190"/>
      <c r="D41" s="190"/>
      <c r="E41" s="116">
        <f>SUM(E38:E40)</f>
        <v>82.01</v>
      </c>
    </row>
    <row r="42" spans="1:14" x14ac:dyDescent="0.2">
      <c r="A42" s="190" t="s">
        <v>201</v>
      </c>
      <c r="B42" s="190"/>
      <c r="C42" s="190"/>
      <c r="D42" s="190"/>
      <c r="E42" s="116">
        <f>E41/12</f>
        <v>6.8341666666666674</v>
      </c>
    </row>
  </sheetData>
  <mergeCells count="13">
    <mergeCell ref="A41:D41"/>
    <mergeCell ref="A42:D42"/>
    <mergeCell ref="A31:I31"/>
    <mergeCell ref="K32:N32"/>
    <mergeCell ref="A28:D28"/>
    <mergeCell ref="A29:D29"/>
    <mergeCell ref="K11:N11"/>
    <mergeCell ref="A10:I10"/>
    <mergeCell ref="A1:K1"/>
    <mergeCell ref="D4:H4"/>
    <mergeCell ref="D5:H5"/>
    <mergeCell ref="D6:H6"/>
    <mergeCell ref="D7:H7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16C81-F2EE-496C-A113-E87C376AC99A}">
  <dimension ref="B3:M23"/>
  <sheetViews>
    <sheetView zoomScaleNormal="100" zoomScaleSheetLayoutView="100" workbookViewId="0">
      <selection activeCell="M5" sqref="M5"/>
    </sheetView>
  </sheetViews>
  <sheetFormatPr defaultColWidth="8.7109375" defaultRowHeight="14.25" x14ac:dyDescent="0.25"/>
  <cols>
    <col min="1" max="1" width="6.28515625" style="137" customWidth="1"/>
    <col min="2" max="2" width="7" style="137" customWidth="1"/>
    <col min="3" max="3" width="82.28515625" style="137" customWidth="1"/>
    <col min="4" max="4" width="23.7109375" style="137" customWidth="1"/>
    <col min="5" max="5" width="20.28515625" style="137" bestFit="1" customWidth="1"/>
    <col min="6" max="6" width="17" style="137" customWidth="1"/>
    <col min="7" max="7" width="9.28515625" style="137" customWidth="1"/>
    <col min="8" max="11" width="8.7109375" style="137"/>
    <col min="12" max="12" width="14.28515625" style="137" customWidth="1"/>
    <col min="13" max="13" width="14.5703125" style="137" customWidth="1"/>
    <col min="14" max="16384" width="8.7109375" style="137"/>
  </cols>
  <sheetData>
    <row r="3" spans="2:13" ht="12.75" customHeight="1" x14ac:dyDescent="0.25">
      <c r="B3" s="192" t="s">
        <v>232</v>
      </c>
      <c r="C3" s="193"/>
      <c r="D3" s="194"/>
      <c r="E3" s="141" t="s">
        <v>233</v>
      </c>
      <c r="F3" s="141" t="s">
        <v>234</v>
      </c>
      <c r="G3" s="139"/>
      <c r="I3" s="201"/>
      <c r="J3" s="201"/>
      <c r="K3" s="201"/>
      <c r="L3" s="201"/>
      <c r="M3" s="201"/>
    </row>
    <row r="4" spans="2:13" x14ac:dyDescent="0.25">
      <c r="B4" s="202" t="s">
        <v>235</v>
      </c>
      <c r="C4" s="202"/>
      <c r="D4" s="140"/>
      <c r="E4" s="146">
        <v>234</v>
      </c>
      <c r="F4" s="146">
        <f>E4/2</f>
        <v>117</v>
      </c>
      <c r="G4" s="147"/>
      <c r="I4" s="201"/>
      <c r="J4" s="201"/>
      <c r="K4" s="201"/>
      <c r="L4" s="201"/>
      <c r="M4" s="135"/>
    </row>
    <row r="5" spans="2:13" x14ac:dyDescent="0.25">
      <c r="B5" s="200" t="s">
        <v>236</v>
      </c>
      <c r="C5" s="200"/>
      <c r="D5" s="142"/>
      <c r="E5" s="144"/>
      <c r="F5" s="144"/>
      <c r="G5" s="139"/>
      <c r="I5" s="203"/>
      <c r="J5" s="203"/>
      <c r="K5" s="203"/>
      <c r="L5" s="203"/>
      <c r="M5" s="138"/>
    </row>
    <row r="6" spans="2:13" ht="15" customHeight="1" x14ac:dyDescent="0.25">
      <c r="B6" s="199" t="s">
        <v>237</v>
      </c>
      <c r="C6" s="199"/>
      <c r="D6" s="150">
        <v>0.03</v>
      </c>
      <c r="E6" s="151">
        <f>E4*$D$6</f>
        <v>7.02</v>
      </c>
      <c r="F6" s="151">
        <f>F4*$D$6</f>
        <v>3.51</v>
      </c>
      <c r="G6" s="139"/>
      <c r="M6" s="138"/>
    </row>
    <row r="7" spans="2:13" ht="15" customHeight="1" x14ac:dyDescent="0.25">
      <c r="B7" s="199" t="s">
        <v>238</v>
      </c>
      <c r="C7" s="199"/>
      <c r="D7" s="150">
        <v>6.7900000000000002E-2</v>
      </c>
      <c r="E7" s="151">
        <f>E4*$D$7</f>
        <v>15.8886</v>
      </c>
      <c r="F7" s="151">
        <f>F4*$D$7</f>
        <v>7.9443000000000001</v>
      </c>
      <c r="G7" s="139"/>
      <c r="M7" s="138"/>
    </row>
    <row r="8" spans="2:13" ht="15.75" customHeight="1" x14ac:dyDescent="0.25">
      <c r="B8" s="199" t="s">
        <v>239</v>
      </c>
      <c r="C8" s="199"/>
      <c r="D8" s="152">
        <f>SUM(D6:D7)</f>
        <v>9.7900000000000001E-2</v>
      </c>
      <c r="E8" s="153">
        <f>SUM(E6:E7)</f>
        <v>22.9086</v>
      </c>
      <c r="F8" s="153">
        <f>SUM(F6:F7)</f>
        <v>11.4543</v>
      </c>
      <c r="G8" s="139"/>
      <c r="M8" s="138"/>
    </row>
    <row r="9" spans="2:13" x14ac:dyDescent="0.25">
      <c r="B9" s="200" t="s">
        <v>240</v>
      </c>
      <c r="C9" s="200"/>
      <c r="D9" s="149"/>
      <c r="E9" s="154"/>
      <c r="F9" s="154"/>
      <c r="G9" s="139"/>
      <c r="M9" s="138"/>
    </row>
    <row r="10" spans="2:13" ht="15" customHeight="1" x14ac:dyDescent="0.25">
      <c r="B10" s="199" t="s">
        <v>241</v>
      </c>
      <c r="C10" s="199"/>
      <c r="D10" s="150">
        <v>0.05</v>
      </c>
      <c r="E10" s="151">
        <f>((E4+E8)/(1-(SUM($D$10:$D$11)))*$D$10)</f>
        <v>14.69728832951945</v>
      </c>
      <c r="F10" s="151">
        <f>((F4+F8)/(1-(SUM($D$10:$D$11)))*$D$10)</f>
        <v>7.3486441647597252</v>
      </c>
      <c r="G10" s="139"/>
    </row>
    <row r="11" spans="2:13" ht="15" customHeight="1" x14ac:dyDescent="0.25">
      <c r="B11" s="199" t="s">
        <v>249</v>
      </c>
      <c r="C11" s="199"/>
      <c r="D11" s="150">
        <v>7.5999999999999998E-2</v>
      </c>
      <c r="E11" s="151">
        <f>((E4+E8)/(1-(SUM($D$10:$D$11)))*$D$11)</f>
        <v>22.339878260869561</v>
      </c>
      <c r="F11" s="151">
        <f>((F4+F8)/(1-(SUM($D$10:$D$11)))*$D$11)</f>
        <v>11.169939130434781</v>
      </c>
      <c r="G11" s="139"/>
      <c r="I11" s="201"/>
      <c r="J11" s="201"/>
      <c r="K11" s="201"/>
      <c r="L11" s="201"/>
      <c r="M11" s="138"/>
    </row>
    <row r="12" spans="2:13" ht="15" customHeight="1" x14ac:dyDescent="0.25">
      <c r="B12" s="199" t="s">
        <v>250</v>
      </c>
      <c r="C12" s="199"/>
      <c r="D12" s="150">
        <v>1.6500000000000001E-2</v>
      </c>
      <c r="E12" s="151">
        <f>((E4+E8)/(1-(SUM($D$10:$D$11)))*$D$12)</f>
        <v>4.8501051487414184</v>
      </c>
      <c r="F12" s="151">
        <f>((F4+F8)/(1-(SUM($D$10:$D$11)))*$D$12)</f>
        <v>2.4250525743707092</v>
      </c>
      <c r="G12" s="147"/>
    </row>
    <row r="13" spans="2:13" ht="15.75" customHeight="1" x14ac:dyDescent="0.25">
      <c r="B13" s="199" t="s">
        <v>242</v>
      </c>
      <c r="C13" s="199"/>
      <c r="D13" s="152">
        <f>SUM(D10:D12)</f>
        <v>0.14250000000000002</v>
      </c>
      <c r="E13" s="151">
        <f>SUM(E10:E12)</f>
        <v>41.887271739130433</v>
      </c>
      <c r="F13" s="151">
        <f>SUM(F10:F12)</f>
        <v>20.943635869565217</v>
      </c>
      <c r="G13" s="139"/>
    </row>
    <row r="14" spans="2:13" x14ac:dyDescent="0.25">
      <c r="B14" s="202" t="s">
        <v>243</v>
      </c>
      <c r="C14" s="202"/>
      <c r="D14" s="145"/>
      <c r="E14" s="155">
        <f>E4+E8+E13</f>
        <v>298.7958717391304</v>
      </c>
      <c r="F14" s="155">
        <f>F4+F8+F13</f>
        <v>149.3979358695652</v>
      </c>
      <c r="G14" s="139"/>
    </row>
    <row r="15" spans="2:13" ht="15" customHeight="1" x14ac:dyDescent="0.25">
      <c r="B15" s="199" t="s">
        <v>252</v>
      </c>
      <c r="C15" s="199"/>
      <c r="D15" s="143"/>
      <c r="E15" s="151">
        <f>E14*10</f>
        <v>2987.9587173913042</v>
      </c>
      <c r="F15" s="151">
        <f>F14*10</f>
        <v>1493.9793586956521</v>
      </c>
      <c r="G15" s="139"/>
    </row>
    <row r="16" spans="2:13" ht="15" customHeight="1" x14ac:dyDescent="0.25">
      <c r="B16" s="199" t="s">
        <v>244</v>
      </c>
      <c r="C16" s="199"/>
      <c r="D16" s="143"/>
      <c r="E16" s="151">
        <f>E15*12</f>
        <v>35855.50460869565</v>
      </c>
      <c r="F16" s="151">
        <f>F15*12</f>
        <v>17927.752304347825</v>
      </c>
      <c r="G16" s="139"/>
    </row>
    <row r="17" spans="2:7" x14ac:dyDescent="0.25">
      <c r="B17" s="195" t="s">
        <v>253</v>
      </c>
      <c r="C17" s="195"/>
      <c r="D17" s="148"/>
      <c r="E17" s="148"/>
      <c r="F17" s="148"/>
      <c r="G17" s="136"/>
    </row>
    <row r="18" spans="2:7" x14ac:dyDescent="0.25">
      <c r="B18" s="136"/>
      <c r="C18" s="136"/>
      <c r="D18" s="136"/>
      <c r="E18" s="136"/>
      <c r="F18" s="136"/>
      <c r="G18" s="136"/>
    </row>
    <row r="19" spans="2:7" ht="30" customHeight="1" x14ac:dyDescent="0.25">
      <c r="B19" s="196" t="s">
        <v>245</v>
      </c>
      <c r="C19" s="196"/>
      <c r="D19" s="196"/>
      <c r="E19" s="196"/>
      <c r="F19" s="196"/>
      <c r="G19" s="139"/>
    </row>
    <row r="20" spans="2:7" ht="30" customHeight="1" x14ac:dyDescent="0.25">
      <c r="B20" s="197" t="s">
        <v>246</v>
      </c>
      <c r="C20" s="197"/>
      <c r="D20" s="197"/>
      <c r="E20" s="197"/>
      <c r="F20" s="197"/>
    </row>
    <row r="21" spans="2:7" ht="79.5" customHeight="1" x14ac:dyDescent="0.25">
      <c r="B21" s="197" t="s">
        <v>247</v>
      </c>
      <c r="C21" s="197"/>
      <c r="D21" s="197"/>
      <c r="E21" s="197"/>
      <c r="F21" s="197"/>
    </row>
    <row r="22" spans="2:7" ht="15" customHeight="1" x14ac:dyDescent="0.25">
      <c r="B22" s="198" t="s">
        <v>248</v>
      </c>
      <c r="C22" s="198"/>
      <c r="D22" s="198"/>
      <c r="E22" s="198"/>
      <c r="F22" s="198"/>
    </row>
    <row r="23" spans="2:7" ht="39.75" customHeight="1" x14ac:dyDescent="0.25">
      <c r="B23" s="191" t="s">
        <v>251</v>
      </c>
      <c r="C23" s="191"/>
      <c r="D23" s="191"/>
      <c r="E23" s="191"/>
      <c r="F23" s="191"/>
    </row>
  </sheetData>
  <mergeCells count="24">
    <mergeCell ref="I3:M3"/>
    <mergeCell ref="B4:C4"/>
    <mergeCell ref="I4:L4"/>
    <mergeCell ref="B5:C5"/>
    <mergeCell ref="I5:L5"/>
    <mergeCell ref="I11:L11"/>
    <mergeCell ref="B12:C12"/>
    <mergeCell ref="B13:C13"/>
    <mergeCell ref="B14:C14"/>
    <mergeCell ref="B15:C15"/>
    <mergeCell ref="B11:C11"/>
    <mergeCell ref="B23:F23"/>
    <mergeCell ref="B3:D3"/>
    <mergeCell ref="B17:C17"/>
    <mergeCell ref="B19:F19"/>
    <mergeCell ref="B20:F20"/>
    <mergeCell ref="B21:F21"/>
    <mergeCell ref="B22:F22"/>
    <mergeCell ref="B16:C16"/>
    <mergeCell ref="B6:C6"/>
    <mergeCell ref="B7:C7"/>
    <mergeCell ref="B8:C8"/>
    <mergeCell ref="B9:C9"/>
    <mergeCell ref="B10:C10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POSTO DE TRABALHO</vt:lpstr>
      <vt:lpstr>MEMÓRIA DE CÁLCULO</vt:lpstr>
      <vt:lpstr>MÓDULO 2.3</vt:lpstr>
      <vt:lpstr>MÓDULO 5</vt:lpstr>
      <vt:lpstr>CUSTO DE DESLOCAMENTO DIÁRIO </vt:lpstr>
      <vt:lpstr>'POSTO DE TRABALHO'!Area_de_impressao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TJPI</dc:creator>
  <cp:lastModifiedBy>TJPI</cp:lastModifiedBy>
  <dcterms:created xsi:type="dcterms:W3CDTF">2023-03-31T15:55:02Z</dcterms:created>
  <dcterms:modified xsi:type="dcterms:W3CDTF">2023-07-03T16:00:34Z</dcterms:modified>
</cp:coreProperties>
</file>