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I\Desktop\Limpeza\"/>
    </mc:Choice>
  </mc:AlternateContent>
  <xr:revisionPtr revIDLastSave="0" documentId="13_ncr:1_{27CE41D9-8A22-4836-9822-3929038A2FA4}" xr6:coauthVersionLast="47" xr6:coauthVersionMax="47" xr10:uidLastSave="{00000000-0000-0000-0000-000000000000}"/>
  <bookViews>
    <workbookView xWindow="-120" yWindow="-120" windowWidth="29040" windowHeight="15720" tabRatio="670" activeTab="3" xr2:uid="{00000000-000D-0000-FFFF-FFFF00000000}"/>
  </bookViews>
  <sheets>
    <sheet name="POSTO DE TRABALHO" sheetId="1" r:id="rId1"/>
    <sheet name="MEMÓRIA DE CÁLCULO" sheetId="2" r:id="rId2"/>
    <sheet name="MÓDULO 2.3" sheetId="4" r:id="rId3"/>
    <sheet name="MÓDULO 5" sheetId="5" r:id="rId4"/>
    <sheet name="MÓDULO 5 - EQUIPAMENTOS" sheetId="6" r:id="rId5"/>
    <sheet name="MATERIAIS SOB DEMANDA" sheetId="8" r:id="rId6"/>
  </sheets>
  <definedNames>
    <definedName name="_xlnm.Print_Area" localSheetId="0">'POSTO DE TRABALHO'!$A$1:$D$162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  <c r="F23" i="8" l="1"/>
  <c r="E23" i="8" s="1"/>
  <c r="J23" i="8"/>
  <c r="K23" i="8"/>
  <c r="L23" i="8"/>
  <c r="M23" i="8" s="1"/>
  <c r="N23" i="8"/>
  <c r="O23" i="8"/>
  <c r="P23" i="8"/>
  <c r="C48" i="2"/>
  <c r="C59" i="2"/>
  <c r="C26" i="1"/>
  <c r="C84" i="1"/>
  <c r="D106" i="1" l="1"/>
  <c r="B85" i="1"/>
  <c r="C5" i="4"/>
  <c r="C4" i="4"/>
  <c r="P28" i="8" l="1"/>
  <c r="O28" i="8"/>
  <c r="N28" i="8"/>
  <c r="L28" i="8"/>
  <c r="K28" i="8"/>
  <c r="F28" i="8" s="1"/>
  <c r="J28" i="8"/>
  <c r="P27" i="8"/>
  <c r="O27" i="8"/>
  <c r="N27" i="8"/>
  <c r="L27" i="8"/>
  <c r="K27" i="8"/>
  <c r="F27" i="8" s="1"/>
  <c r="J27" i="8"/>
  <c r="P26" i="8"/>
  <c r="O26" i="8"/>
  <c r="N26" i="8"/>
  <c r="L26" i="8"/>
  <c r="K26" i="8"/>
  <c r="J26" i="8"/>
  <c r="P25" i="8"/>
  <c r="O25" i="8"/>
  <c r="N25" i="8"/>
  <c r="L25" i="8"/>
  <c r="K25" i="8"/>
  <c r="J25" i="8"/>
  <c r="P24" i="8"/>
  <c r="O24" i="8"/>
  <c r="N24" i="8"/>
  <c r="L24" i="8"/>
  <c r="K24" i="8"/>
  <c r="J24" i="8"/>
  <c r="P22" i="8"/>
  <c r="O22" i="8"/>
  <c r="N22" i="8"/>
  <c r="L22" i="8"/>
  <c r="K22" i="8"/>
  <c r="F22" i="8" s="1"/>
  <c r="J22" i="8"/>
  <c r="P21" i="8"/>
  <c r="O21" i="8"/>
  <c r="N21" i="8"/>
  <c r="L21" i="8"/>
  <c r="K21" i="8"/>
  <c r="J21" i="8"/>
  <c r="P20" i="8"/>
  <c r="O20" i="8"/>
  <c r="N20" i="8"/>
  <c r="L20" i="8"/>
  <c r="K20" i="8"/>
  <c r="J20" i="8"/>
  <c r="P19" i="8"/>
  <c r="O19" i="8"/>
  <c r="N19" i="8"/>
  <c r="L19" i="8"/>
  <c r="K19" i="8"/>
  <c r="F19" i="8" s="1"/>
  <c r="J19" i="8"/>
  <c r="P18" i="8"/>
  <c r="O18" i="8"/>
  <c r="N18" i="8"/>
  <c r="L18" i="8"/>
  <c r="K18" i="8"/>
  <c r="F18" i="8" s="1"/>
  <c r="J18" i="8"/>
  <c r="P17" i="8"/>
  <c r="O17" i="8"/>
  <c r="N17" i="8"/>
  <c r="L17" i="8"/>
  <c r="K17" i="8"/>
  <c r="F17" i="8" s="1"/>
  <c r="J17" i="8"/>
  <c r="P16" i="8"/>
  <c r="O16" i="8"/>
  <c r="N16" i="8"/>
  <c r="L16" i="8"/>
  <c r="K16" i="8"/>
  <c r="F16" i="8" s="1"/>
  <c r="J16" i="8"/>
  <c r="P15" i="8"/>
  <c r="O15" i="8"/>
  <c r="N15" i="8"/>
  <c r="L15" i="8"/>
  <c r="K15" i="8"/>
  <c r="F15" i="8" s="1"/>
  <c r="J15" i="8"/>
  <c r="P14" i="8"/>
  <c r="O14" i="8"/>
  <c r="N14" i="8"/>
  <c r="L14" i="8"/>
  <c r="K14" i="8"/>
  <c r="J14" i="8"/>
  <c r="P13" i="8"/>
  <c r="O13" i="8"/>
  <c r="N13" i="8"/>
  <c r="L13" i="8"/>
  <c r="K13" i="8"/>
  <c r="J13" i="8"/>
  <c r="P12" i="8"/>
  <c r="O12" i="8"/>
  <c r="N12" i="8"/>
  <c r="L12" i="8"/>
  <c r="K12" i="8"/>
  <c r="J12" i="8"/>
  <c r="P11" i="8"/>
  <c r="O11" i="8"/>
  <c r="N11" i="8"/>
  <c r="L11" i="8"/>
  <c r="K11" i="8"/>
  <c r="F11" i="8" s="1"/>
  <c r="J11" i="8"/>
  <c r="P10" i="8"/>
  <c r="O10" i="8"/>
  <c r="N10" i="8"/>
  <c r="L10" i="8"/>
  <c r="K10" i="8"/>
  <c r="J10" i="8"/>
  <c r="P9" i="8"/>
  <c r="O9" i="8"/>
  <c r="N9" i="8"/>
  <c r="L9" i="8"/>
  <c r="K9" i="8"/>
  <c r="J9" i="8"/>
  <c r="P8" i="8"/>
  <c r="O8" i="8"/>
  <c r="N8" i="8"/>
  <c r="L8" i="8"/>
  <c r="K8" i="8"/>
  <c r="F8" i="8" s="1"/>
  <c r="E8" i="8" s="1"/>
  <c r="J8" i="8"/>
  <c r="P7" i="8"/>
  <c r="O7" i="8"/>
  <c r="N7" i="8"/>
  <c r="L7" i="8"/>
  <c r="K7" i="8"/>
  <c r="J7" i="8"/>
  <c r="H11" i="4"/>
  <c r="I11" i="4" s="1"/>
  <c r="G11" i="4"/>
  <c r="F11" i="4"/>
  <c r="H10" i="4"/>
  <c r="I10" i="4" s="1"/>
  <c r="G10" i="4"/>
  <c r="F10" i="4"/>
  <c r="D35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4" i="6"/>
  <c r="B95" i="5"/>
  <c r="B96" i="5"/>
  <c r="B97" i="5"/>
  <c r="B94" i="5"/>
  <c r="M24" i="8" l="1"/>
  <c r="F24" i="8" s="1"/>
  <c r="E24" i="8" s="1"/>
  <c r="M7" i="8"/>
  <c r="M18" i="8"/>
  <c r="E18" i="8" s="1"/>
  <c r="M14" i="8"/>
  <c r="F14" i="8" s="1"/>
  <c r="E14" i="8" s="1"/>
  <c r="M16" i="8"/>
  <c r="E16" i="8" s="1"/>
  <c r="M28" i="8"/>
  <c r="E28" i="8" s="1"/>
  <c r="M8" i="8"/>
  <c r="M20" i="8"/>
  <c r="F20" i="8" s="1"/>
  <c r="E20" i="8" s="1"/>
  <c r="M22" i="8"/>
  <c r="E22" i="8" s="1"/>
  <c r="M12" i="8"/>
  <c r="F12" i="8" s="1"/>
  <c r="E12" i="8" s="1"/>
  <c r="M13" i="8"/>
  <c r="F13" i="8" s="1"/>
  <c r="E13" i="8" s="1"/>
  <c r="M15" i="8"/>
  <c r="E15" i="8" s="1"/>
  <c r="M10" i="8"/>
  <c r="F10" i="8" s="1"/>
  <c r="E10" i="8" s="1"/>
  <c r="M26" i="8"/>
  <c r="F26" i="8" s="1"/>
  <c r="E26" i="8" s="1"/>
  <c r="M19" i="8"/>
  <c r="E19" i="8" s="1"/>
  <c r="M21" i="8"/>
  <c r="F21" i="8" s="1"/>
  <c r="E21" i="8" s="1"/>
  <c r="M9" i="8"/>
  <c r="F9" i="8" s="1"/>
  <c r="E9" i="8" s="1"/>
  <c r="M11" i="8"/>
  <c r="E11" i="8" s="1"/>
  <c r="M17" i="8"/>
  <c r="E17" i="8" s="1"/>
  <c r="M25" i="8"/>
  <c r="F25" i="8" s="1"/>
  <c r="E25" i="8" s="1"/>
  <c r="M27" i="8"/>
  <c r="E27" i="8" s="1"/>
  <c r="D57" i="1"/>
  <c r="E7" i="8" l="1"/>
  <c r="E29" i="8" s="1"/>
  <c r="F7" i="8"/>
  <c r="L91" i="5"/>
  <c r="K91" i="5"/>
  <c r="J91" i="5"/>
  <c r="H91" i="5"/>
  <c r="G91" i="5"/>
  <c r="F91" i="5"/>
  <c r="E97" i="5" s="1"/>
  <c r="L90" i="5"/>
  <c r="K90" i="5"/>
  <c r="J90" i="5"/>
  <c r="H90" i="5"/>
  <c r="G90" i="5"/>
  <c r="E96" i="5" s="1"/>
  <c r="F90" i="5"/>
  <c r="L89" i="5"/>
  <c r="K89" i="5"/>
  <c r="J89" i="5"/>
  <c r="H89" i="5"/>
  <c r="G89" i="5"/>
  <c r="F89" i="5"/>
  <c r="E95" i="5" s="1"/>
  <c r="P83" i="5"/>
  <c r="O83" i="5"/>
  <c r="N83" i="5"/>
  <c r="L83" i="5"/>
  <c r="K83" i="5"/>
  <c r="J83" i="5"/>
  <c r="P82" i="5"/>
  <c r="O82" i="5"/>
  <c r="N82" i="5"/>
  <c r="L82" i="5"/>
  <c r="K82" i="5"/>
  <c r="F82" i="5" s="1"/>
  <c r="J82" i="5"/>
  <c r="P81" i="5"/>
  <c r="O81" i="5"/>
  <c r="N81" i="5"/>
  <c r="L81" i="5"/>
  <c r="K81" i="5"/>
  <c r="J81" i="5"/>
  <c r="P80" i="5"/>
  <c r="O80" i="5"/>
  <c r="N80" i="5"/>
  <c r="L80" i="5"/>
  <c r="K80" i="5"/>
  <c r="J80" i="5"/>
  <c r="P79" i="5"/>
  <c r="O79" i="5"/>
  <c r="N79" i="5"/>
  <c r="L79" i="5"/>
  <c r="K79" i="5"/>
  <c r="J79" i="5"/>
  <c r="P78" i="5"/>
  <c r="O78" i="5"/>
  <c r="N78" i="5"/>
  <c r="L78" i="5"/>
  <c r="K78" i="5"/>
  <c r="F78" i="5" s="1"/>
  <c r="J78" i="5"/>
  <c r="P77" i="5"/>
  <c r="O77" i="5"/>
  <c r="N77" i="5"/>
  <c r="L77" i="5"/>
  <c r="K77" i="5"/>
  <c r="J77" i="5"/>
  <c r="P76" i="5"/>
  <c r="O76" i="5"/>
  <c r="N76" i="5"/>
  <c r="L76" i="5"/>
  <c r="K76" i="5"/>
  <c r="J76" i="5"/>
  <c r="P75" i="5"/>
  <c r="O75" i="5"/>
  <c r="N75" i="5"/>
  <c r="L75" i="5"/>
  <c r="K75" i="5"/>
  <c r="J75" i="5"/>
  <c r="P74" i="5"/>
  <c r="O74" i="5"/>
  <c r="N74" i="5"/>
  <c r="L74" i="5"/>
  <c r="K74" i="5"/>
  <c r="J74" i="5"/>
  <c r="P73" i="5"/>
  <c r="O73" i="5"/>
  <c r="N73" i="5"/>
  <c r="L73" i="5"/>
  <c r="K73" i="5"/>
  <c r="J73" i="5"/>
  <c r="P72" i="5"/>
  <c r="O72" i="5"/>
  <c r="N72" i="5"/>
  <c r="L72" i="5"/>
  <c r="K72" i="5"/>
  <c r="J72" i="5"/>
  <c r="P71" i="5"/>
  <c r="O71" i="5"/>
  <c r="N71" i="5"/>
  <c r="L71" i="5"/>
  <c r="K71" i="5"/>
  <c r="F71" i="5" s="1"/>
  <c r="J71" i="5"/>
  <c r="P70" i="5"/>
  <c r="O70" i="5"/>
  <c r="N70" i="5"/>
  <c r="L70" i="5"/>
  <c r="K70" i="5"/>
  <c r="J70" i="5"/>
  <c r="P69" i="5"/>
  <c r="O69" i="5"/>
  <c r="N69" i="5"/>
  <c r="L69" i="5"/>
  <c r="K69" i="5"/>
  <c r="J69" i="5"/>
  <c r="P68" i="5"/>
  <c r="O68" i="5"/>
  <c r="N68" i="5"/>
  <c r="L68" i="5"/>
  <c r="K68" i="5"/>
  <c r="J68" i="5"/>
  <c r="P67" i="5"/>
  <c r="O67" i="5"/>
  <c r="N67" i="5"/>
  <c r="L67" i="5"/>
  <c r="K67" i="5"/>
  <c r="J67" i="5"/>
  <c r="P66" i="5"/>
  <c r="O66" i="5"/>
  <c r="N66" i="5"/>
  <c r="L66" i="5"/>
  <c r="K66" i="5"/>
  <c r="J66" i="5"/>
  <c r="P65" i="5"/>
  <c r="O65" i="5"/>
  <c r="N65" i="5"/>
  <c r="L65" i="5"/>
  <c r="K65" i="5"/>
  <c r="J65" i="5"/>
  <c r="P60" i="5"/>
  <c r="O60" i="5"/>
  <c r="N60" i="5"/>
  <c r="L60" i="5"/>
  <c r="K60" i="5"/>
  <c r="J60" i="5"/>
  <c r="P59" i="5"/>
  <c r="O59" i="5"/>
  <c r="N59" i="5"/>
  <c r="L59" i="5"/>
  <c r="K59" i="5"/>
  <c r="J59" i="5"/>
  <c r="P58" i="5"/>
  <c r="O58" i="5"/>
  <c r="N58" i="5"/>
  <c r="L58" i="5"/>
  <c r="K58" i="5"/>
  <c r="F58" i="5" s="1"/>
  <c r="J58" i="5"/>
  <c r="P57" i="5"/>
  <c r="O57" i="5"/>
  <c r="N57" i="5"/>
  <c r="L57" i="5"/>
  <c r="K57" i="5"/>
  <c r="F57" i="5" s="1"/>
  <c r="J57" i="5"/>
  <c r="P56" i="5"/>
  <c r="O56" i="5"/>
  <c r="N56" i="5"/>
  <c r="L56" i="5"/>
  <c r="K56" i="5"/>
  <c r="F56" i="5" s="1"/>
  <c r="J56" i="5"/>
  <c r="P55" i="5"/>
  <c r="O55" i="5"/>
  <c r="N55" i="5"/>
  <c r="L55" i="5"/>
  <c r="K55" i="5"/>
  <c r="J55" i="5"/>
  <c r="P54" i="5"/>
  <c r="O54" i="5"/>
  <c r="N54" i="5"/>
  <c r="L54" i="5"/>
  <c r="K54" i="5"/>
  <c r="J54" i="5"/>
  <c r="P53" i="5"/>
  <c r="O53" i="5"/>
  <c r="N53" i="5"/>
  <c r="L53" i="5"/>
  <c r="K53" i="5"/>
  <c r="F53" i="5" s="1"/>
  <c r="J53" i="5"/>
  <c r="P52" i="5"/>
  <c r="O52" i="5"/>
  <c r="N52" i="5"/>
  <c r="L52" i="5"/>
  <c r="K52" i="5"/>
  <c r="J52" i="5"/>
  <c r="P51" i="5"/>
  <c r="O51" i="5"/>
  <c r="N51" i="5"/>
  <c r="L51" i="5"/>
  <c r="K51" i="5"/>
  <c r="J51" i="5"/>
  <c r="P50" i="5"/>
  <c r="O50" i="5"/>
  <c r="N50" i="5"/>
  <c r="L50" i="5"/>
  <c r="K50" i="5"/>
  <c r="F50" i="5" s="1"/>
  <c r="J50" i="5"/>
  <c r="P49" i="5"/>
  <c r="O49" i="5"/>
  <c r="N49" i="5"/>
  <c r="L49" i="5"/>
  <c r="K49" i="5"/>
  <c r="J49" i="5"/>
  <c r="P48" i="5"/>
  <c r="O48" i="5"/>
  <c r="N48" i="5"/>
  <c r="L48" i="5"/>
  <c r="K48" i="5"/>
  <c r="J48" i="5"/>
  <c r="P47" i="5"/>
  <c r="O47" i="5"/>
  <c r="N47" i="5"/>
  <c r="L47" i="5"/>
  <c r="K47" i="5"/>
  <c r="J47" i="5"/>
  <c r="P46" i="5"/>
  <c r="O46" i="5"/>
  <c r="N46" i="5"/>
  <c r="L46" i="5"/>
  <c r="K46" i="5"/>
  <c r="J46" i="5"/>
  <c r="P45" i="5"/>
  <c r="O45" i="5"/>
  <c r="N45" i="5"/>
  <c r="L45" i="5"/>
  <c r="K45" i="5"/>
  <c r="J45" i="5"/>
  <c r="P44" i="5"/>
  <c r="O44" i="5"/>
  <c r="N44" i="5"/>
  <c r="L44" i="5"/>
  <c r="K44" i="5"/>
  <c r="J44" i="5"/>
  <c r="P43" i="5"/>
  <c r="O43" i="5"/>
  <c r="N43" i="5"/>
  <c r="L43" i="5"/>
  <c r="K43" i="5"/>
  <c r="J43" i="5"/>
  <c r="P42" i="5"/>
  <c r="O42" i="5"/>
  <c r="N42" i="5"/>
  <c r="L42" i="5"/>
  <c r="K42" i="5"/>
  <c r="J42" i="5"/>
  <c r="P41" i="5"/>
  <c r="O41" i="5"/>
  <c r="N41" i="5"/>
  <c r="L41" i="5"/>
  <c r="K41" i="5"/>
  <c r="J41" i="5"/>
  <c r="P40" i="5"/>
  <c r="O40" i="5"/>
  <c r="N40" i="5"/>
  <c r="L40" i="5"/>
  <c r="K40" i="5"/>
  <c r="J40" i="5"/>
  <c r="P39" i="5"/>
  <c r="O39" i="5"/>
  <c r="N39" i="5"/>
  <c r="L39" i="5"/>
  <c r="K39" i="5"/>
  <c r="F39" i="5" s="1"/>
  <c r="J39" i="5"/>
  <c r="P38" i="5"/>
  <c r="O38" i="5"/>
  <c r="N38" i="5"/>
  <c r="L38" i="5"/>
  <c r="K38" i="5"/>
  <c r="F38" i="5" s="1"/>
  <c r="J38" i="5"/>
  <c r="P37" i="5"/>
  <c r="O37" i="5"/>
  <c r="N37" i="5"/>
  <c r="L37" i="5"/>
  <c r="K37" i="5"/>
  <c r="F37" i="5" s="1"/>
  <c r="J37" i="5"/>
  <c r="P36" i="5"/>
  <c r="O36" i="5"/>
  <c r="N36" i="5"/>
  <c r="L36" i="5"/>
  <c r="K36" i="5"/>
  <c r="F36" i="5" s="1"/>
  <c r="J36" i="5"/>
  <c r="P35" i="5"/>
  <c r="O35" i="5"/>
  <c r="N35" i="5"/>
  <c r="L35" i="5"/>
  <c r="K35" i="5"/>
  <c r="J35" i="5"/>
  <c r="P34" i="5"/>
  <c r="O34" i="5"/>
  <c r="N34" i="5"/>
  <c r="L34" i="5"/>
  <c r="K34" i="5"/>
  <c r="J34" i="5"/>
  <c r="P33" i="5"/>
  <c r="O33" i="5"/>
  <c r="N33" i="5"/>
  <c r="L33" i="5"/>
  <c r="K33" i="5"/>
  <c r="J33" i="5"/>
  <c r="P32" i="5"/>
  <c r="O32" i="5"/>
  <c r="N32" i="5"/>
  <c r="L32" i="5"/>
  <c r="K32" i="5"/>
  <c r="F32" i="5" s="1"/>
  <c r="J32" i="5"/>
  <c r="P31" i="5"/>
  <c r="O31" i="5"/>
  <c r="N31" i="5"/>
  <c r="L31" i="5"/>
  <c r="K31" i="5"/>
  <c r="J31" i="5"/>
  <c r="P30" i="5"/>
  <c r="O30" i="5"/>
  <c r="N30" i="5"/>
  <c r="L30" i="5"/>
  <c r="K30" i="5"/>
  <c r="J30" i="5"/>
  <c r="P29" i="5"/>
  <c r="O29" i="5"/>
  <c r="N29" i="5"/>
  <c r="L29" i="5"/>
  <c r="K29" i="5"/>
  <c r="J29" i="5"/>
  <c r="P28" i="5"/>
  <c r="O28" i="5"/>
  <c r="N28" i="5"/>
  <c r="L28" i="5"/>
  <c r="K28" i="5"/>
  <c r="J28" i="5"/>
  <c r="P27" i="5"/>
  <c r="O27" i="5"/>
  <c r="N27" i="5"/>
  <c r="L27" i="5"/>
  <c r="K27" i="5"/>
  <c r="F27" i="5" s="1"/>
  <c r="J27" i="5"/>
  <c r="P26" i="5"/>
  <c r="O26" i="5"/>
  <c r="N26" i="5"/>
  <c r="L26" i="5"/>
  <c r="K26" i="5"/>
  <c r="F26" i="5" s="1"/>
  <c r="J26" i="5"/>
  <c r="P25" i="5"/>
  <c r="O25" i="5"/>
  <c r="N25" i="5"/>
  <c r="L25" i="5"/>
  <c r="K25" i="5"/>
  <c r="F25" i="5" s="1"/>
  <c r="J25" i="5"/>
  <c r="P24" i="5"/>
  <c r="O24" i="5"/>
  <c r="N24" i="5"/>
  <c r="L24" i="5"/>
  <c r="K24" i="5"/>
  <c r="F24" i="5" s="1"/>
  <c r="J24" i="5"/>
  <c r="P23" i="5"/>
  <c r="O23" i="5"/>
  <c r="N23" i="5"/>
  <c r="L23" i="5"/>
  <c r="K23" i="5"/>
  <c r="F23" i="5" s="1"/>
  <c r="J23" i="5"/>
  <c r="P22" i="5"/>
  <c r="O22" i="5"/>
  <c r="N22" i="5"/>
  <c r="L22" i="5"/>
  <c r="K22" i="5"/>
  <c r="F22" i="5" s="1"/>
  <c r="J22" i="5"/>
  <c r="P21" i="5"/>
  <c r="O21" i="5"/>
  <c r="N21" i="5"/>
  <c r="L21" i="5"/>
  <c r="K21" i="5"/>
  <c r="F21" i="5" s="1"/>
  <c r="J21" i="5"/>
  <c r="P20" i="5"/>
  <c r="O20" i="5"/>
  <c r="N20" i="5"/>
  <c r="L20" i="5"/>
  <c r="K20" i="5"/>
  <c r="F20" i="5" s="1"/>
  <c r="J20" i="5"/>
  <c r="P19" i="5"/>
  <c r="O19" i="5"/>
  <c r="N19" i="5"/>
  <c r="L19" i="5"/>
  <c r="K19" i="5"/>
  <c r="J19" i="5"/>
  <c r="P18" i="5"/>
  <c r="O18" i="5"/>
  <c r="N18" i="5"/>
  <c r="L18" i="5"/>
  <c r="K18" i="5"/>
  <c r="F18" i="5" s="1"/>
  <c r="J18" i="5"/>
  <c r="P17" i="5"/>
  <c r="O17" i="5"/>
  <c r="N17" i="5"/>
  <c r="L17" i="5"/>
  <c r="K17" i="5"/>
  <c r="F17" i="5" s="1"/>
  <c r="J17" i="5"/>
  <c r="P16" i="5"/>
  <c r="O16" i="5"/>
  <c r="N16" i="5"/>
  <c r="L16" i="5"/>
  <c r="K16" i="5"/>
  <c r="F16" i="5" s="1"/>
  <c r="J16" i="5"/>
  <c r="P15" i="5"/>
  <c r="O15" i="5"/>
  <c r="N15" i="5"/>
  <c r="L15" i="5"/>
  <c r="K15" i="5"/>
  <c r="J15" i="5"/>
  <c r="P14" i="5"/>
  <c r="O14" i="5"/>
  <c r="N14" i="5"/>
  <c r="L14" i="5"/>
  <c r="K14" i="5"/>
  <c r="J14" i="5"/>
  <c r="P13" i="5"/>
  <c r="O13" i="5"/>
  <c r="N13" i="5"/>
  <c r="L13" i="5"/>
  <c r="K13" i="5"/>
  <c r="F13" i="5" s="1"/>
  <c r="J13" i="5"/>
  <c r="P12" i="5"/>
  <c r="O12" i="5"/>
  <c r="N12" i="5"/>
  <c r="L12" i="5"/>
  <c r="K12" i="5"/>
  <c r="J12" i="5"/>
  <c r="P11" i="5"/>
  <c r="O11" i="5"/>
  <c r="N11" i="5"/>
  <c r="L11" i="5"/>
  <c r="K11" i="5"/>
  <c r="J11" i="5"/>
  <c r="B5" i="4"/>
  <c r="B4" i="4"/>
  <c r="D39" i="2"/>
  <c r="D61" i="1" s="1"/>
  <c r="D37" i="2"/>
  <c r="D59" i="1" s="1"/>
  <c r="C153" i="1"/>
  <c r="C138" i="1"/>
  <c r="C136" i="1"/>
  <c r="C137" i="1"/>
  <c r="C135" i="1"/>
  <c r="C133" i="1"/>
  <c r="C132" i="1"/>
  <c r="B133" i="1"/>
  <c r="B132" i="1"/>
  <c r="B136" i="1"/>
  <c r="B137" i="1"/>
  <c r="B135" i="1"/>
  <c r="C2" i="1"/>
  <c r="D19" i="1" s="1"/>
  <c r="B153" i="1" s="1"/>
  <c r="B124" i="1"/>
  <c r="B125" i="1"/>
  <c r="B123" i="1"/>
  <c r="C111" i="1"/>
  <c r="C112" i="1"/>
  <c r="B112" i="1"/>
  <c r="B111" i="1"/>
  <c r="C99" i="1"/>
  <c r="C100" i="1"/>
  <c r="B106" i="1"/>
  <c r="B99" i="1"/>
  <c r="B100" i="1"/>
  <c r="B101" i="1"/>
  <c r="B102" i="1"/>
  <c r="B103" i="1"/>
  <c r="B104" i="1"/>
  <c r="B105" i="1"/>
  <c r="B98" i="1"/>
  <c r="C77" i="2"/>
  <c r="C105" i="1" s="1"/>
  <c r="C76" i="2"/>
  <c r="C104" i="1" s="1"/>
  <c r="C75" i="2"/>
  <c r="C103" i="1" s="1"/>
  <c r="C74" i="2"/>
  <c r="C102" i="1" s="1"/>
  <c r="C73" i="2"/>
  <c r="C101" i="1" s="1"/>
  <c r="C72" i="2"/>
  <c r="C70" i="2"/>
  <c r="C98" i="1" s="1"/>
  <c r="B84" i="1"/>
  <c r="B83" i="1"/>
  <c r="C85" i="1"/>
  <c r="C57" i="2"/>
  <c r="B77" i="1"/>
  <c r="B78" i="1"/>
  <c r="B76" i="1"/>
  <c r="C78" i="1"/>
  <c r="C46" i="2"/>
  <c r="B57" i="1"/>
  <c r="D62" i="1"/>
  <c r="D60" i="1"/>
  <c r="D58" i="1"/>
  <c r="B58" i="1"/>
  <c r="B59" i="1"/>
  <c r="B60" i="1"/>
  <c r="B61" i="1"/>
  <c r="B62" i="1"/>
  <c r="C46" i="1"/>
  <c r="C47" i="1"/>
  <c r="C48" i="1"/>
  <c r="C49" i="1"/>
  <c r="C50" i="1"/>
  <c r="C51" i="1"/>
  <c r="C52" i="1"/>
  <c r="C45" i="1"/>
  <c r="B46" i="1"/>
  <c r="B47" i="1"/>
  <c r="B48" i="1"/>
  <c r="B49" i="1"/>
  <c r="B50" i="1"/>
  <c r="B51" i="1"/>
  <c r="B52" i="1"/>
  <c r="B45" i="1"/>
  <c r="C37" i="1"/>
  <c r="C27" i="2"/>
  <c r="C71" i="2" s="1"/>
  <c r="C13" i="2"/>
  <c r="C14" i="2" s="1"/>
  <c r="B38" i="1"/>
  <c r="B37" i="1"/>
  <c r="D18" i="1"/>
  <c r="D24" i="1" s="1"/>
  <c r="D31" i="1" s="1"/>
  <c r="D142" i="1" s="1"/>
  <c r="F46" i="5" l="1"/>
  <c r="F45" i="5"/>
  <c r="M39" i="5"/>
  <c r="E39" i="5" s="1"/>
  <c r="M41" i="5"/>
  <c r="F41" i="5" s="1"/>
  <c r="E41" i="5" s="1"/>
  <c r="M45" i="5"/>
  <c r="E45" i="5" s="1"/>
  <c r="M47" i="5"/>
  <c r="F47" i="5" s="1"/>
  <c r="E47" i="5" s="1"/>
  <c r="M51" i="5"/>
  <c r="F51" i="5" s="1"/>
  <c r="E51" i="5" s="1"/>
  <c r="M55" i="5"/>
  <c r="F55" i="5" s="1"/>
  <c r="E55" i="5" s="1"/>
  <c r="M38" i="5"/>
  <c r="E38" i="5" s="1"/>
  <c r="M42" i="5"/>
  <c r="F42" i="5" s="1"/>
  <c r="E42" i="5" s="1"/>
  <c r="M48" i="5"/>
  <c r="F48" i="5" s="1"/>
  <c r="E48" i="5" s="1"/>
  <c r="M52" i="5"/>
  <c r="F52" i="5" s="1"/>
  <c r="E52" i="5" s="1"/>
  <c r="M56" i="5"/>
  <c r="E56" i="5" s="1"/>
  <c r="M11" i="5"/>
  <c r="F11" i="5" s="1"/>
  <c r="E11" i="5" s="1"/>
  <c r="M19" i="5"/>
  <c r="F19" i="5" s="1"/>
  <c r="E19" i="5" s="1"/>
  <c r="M21" i="5"/>
  <c r="E21" i="5" s="1"/>
  <c r="M25" i="5"/>
  <c r="E25" i="5" s="1"/>
  <c r="M27" i="5"/>
  <c r="M67" i="5"/>
  <c r="F67" i="5" s="1"/>
  <c r="C6" i="6" s="1"/>
  <c r="M69" i="5"/>
  <c r="F69" i="5" s="1"/>
  <c r="C8" i="6" s="1"/>
  <c r="M71" i="5"/>
  <c r="C10" i="6" s="1"/>
  <c r="M73" i="5"/>
  <c r="F73" i="5" s="1"/>
  <c r="C12" i="6" s="1"/>
  <c r="M24" i="5"/>
  <c r="E24" i="5" s="1"/>
  <c r="M32" i="5"/>
  <c r="E32" i="5" s="1"/>
  <c r="M75" i="5"/>
  <c r="F75" i="5" s="1"/>
  <c r="C14" i="6" s="1"/>
  <c r="M77" i="5"/>
  <c r="F77" i="5" s="1"/>
  <c r="C16" i="6" s="1"/>
  <c r="M79" i="5"/>
  <c r="F79" i="5" s="1"/>
  <c r="C18" i="6" s="1"/>
  <c r="M81" i="5"/>
  <c r="F81" i="5" s="1"/>
  <c r="C20" i="6" s="1"/>
  <c r="M12" i="5"/>
  <c r="F12" i="5" s="1"/>
  <c r="E12" i="5" s="1"/>
  <c r="M14" i="5"/>
  <c r="F14" i="5" s="1"/>
  <c r="E14" i="5" s="1"/>
  <c r="M18" i="5"/>
  <c r="E18" i="5" s="1"/>
  <c r="M34" i="5"/>
  <c r="F34" i="5" s="1"/>
  <c r="E34" i="5" s="1"/>
  <c r="M30" i="5"/>
  <c r="F30" i="5" s="1"/>
  <c r="E30" i="5" s="1"/>
  <c r="M35" i="5"/>
  <c r="F35" i="5" s="1"/>
  <c r="E35" i="5" s="1"/>
  <c r="M37" i="5"/>
  <c r="E37" i="5" s="1"/>
  <c r="M70" i="5"/>
  <c r="F70" i="5" s="1"/>
  <c r="C9" i="6" s="1"/>
  <c r="M72" i="5"/>
  <c r="F72" i="5" s="1"/>
  <c r="C11" i="6" s="1"/>
  <c r="E27" i="5"/>
  <c r="M74" i="5"/>
  <c r="F74" i="5" s="1"/>
  <c r="C13" i="6" s="1"/>
  <c r="M76" i="5"/>
  <c r="F76" i="5" s="1"/>
  <c r="C15" i="6" s="1"/>
  <c r="M78" i="5"/>
  <c r="C17" i="6" s="1"/>
  <c r="M80" i="5"/>
  <c r="F80" i="5" s="1"/>
  <c r="C19" i="6" s="1"/>
  <c r="M17" i="5"/>
  <c r="E17" i="5" s="1"/>
  <c r="M29" i="5"/>
  <c r="F29" i="5" s="1"/>
  <c r="E29" i="5" s="1"/>
  <c r="M33" i="5"/>
  <c r="F33" i="5" s="1"/>
  <c r="E33" i="5" s="1"/>
  <c r="M59" i="5"/>
  <c r="F59" i="5" s="1"/>
  <c r="E59" i="5" s="1"/>
  <c r="M65" i="5"/>
  <c r="F65" i="5" s="1"/>
  <c r="M16" i="5"/>
  <c r="E16" i="5" s="1"/>
  <c r="M22" i="5"/>
  <c r="E22" i="5" s="1"/>
  <c r="M60" i="5"/>
  <c r="F60" i="5" s="1"/>
  <c r="E60" i="5" s="1"/>
  <c r="M13" i="5"/>
  <c r="E13" i="5" s="1"/>
  <c r="M54" i="5"/>
  <c r="F54" i="5" s="1"/>
  <c r="E54" i="5" s="1"/>
  <c r="M20" i="5"/>
  <c r="E20" i="5" s="1"/>
  <c r="M26" i="5"/>
  <c r="E26" i="5" s="1"/>
  <c r="M31" i="5"/>
  <c r="F31" i="5" s="1"/>
  <c r="E31" i="5" s="1"/>
  <c r="M36" i="5"/>
  <c r="E36" i="5" s="1"/>
  <c r="M66" i="5"/>
  <c r="F66" i="5" s="1"/>
  <c r="C5" i="6" s="1"/>
  <c r="M68" i="5"/>
  <c r="F68" i="5" s="1"/>
  <c r="C7" i="6" s="1"/>
  <c r="M28" i="5"/>
  <c r="F28" i="5" s="1"/>
  <c r="E28" i="5" s="1"/>
  <c r="M50" i="5"/>
  <c r="E50" i="5" s="1"/>
  <c r="M83" i="5"/>
  <c r="F83" i="5" s="1"/>
  <c r="C22" i="6" s="1"/>
  <c r="M40" i="5"/>
  <c r="F40" i="5" s="1"/>
  <c r="E40" i="5" s="1"/>
  <c r="M44" i="5"/>
  <c r="F44" i="5" s="1"/>
  <c r="E44" i="5" s="1"/>
  <c r="M58" i="5"/>
  <c r="E58" i="5" s="1"/>
  <c r="I89" i="5"/>
  <c r="M43" i="5"/>
  <c r="F43" i="5" s="1"/>
  <c r="E43" i="5" s="1"/>
  <c r="M46" i="5"/>
  <c r="E46" i="5" s="1"/>
  <c r="M49" i="5"/>
  <c r="F49" i="5" s="1"/>
  <c r="E49" i="5" s="1"/>
  <c r="M53" i="5"/>
  <c r="E53" i="5" s="1"/>
  <c r="M57" i="5"/>
  <c r="E57" i="5" s="1"/>
  <c r="M82" i="5"/>
  <c r="C21" i="6" s="1"/>
  <c r="M15" i="5"/>
  <c r="F15" i="5" s="1"/>
  <c r="E15" i="5" s="1"/>
  <c r="M23" i="5"/>
  <c r="E23" i="5" s="1"/>
  <c r="I90" i="5"/>
  <c r="I91" i="5"/>
  <c r="D45" i="1"/>
  <c r="C15" i="2"/>
  <c r="C78" i="2"/>
  <c r="C106" i="1" s="1"/>
  <c r="C107" i="1" s="1"/>
  <c r="C58" i="2"/>
  <c r="D84" i="1" s="1"/>
  <c r="D112" i="1"/>
  <c r="D98" i="1"/>
  <c r="D105" i="1"/>
  <c r="D111" i="1"/>
  <c r="D113" i="1" s="1"/>
  <c r="D118" i="1" s="1"/>
  <c r="D101" i="1"/>
  <c r="D99" i="1"/>
  <c r="C113" i="1"/>
  <c r="D104" i="1"/>
  <c r="D102" i="1"/>
  <c r="D100" i="1"/>
  <c r="D103" i="1"/>
  <c r="C47" i="2"/>
  <c r="C77" i="1" s="1"/>
  <c r="D77" i="1" s="1"/>
  <c r="C38" i="1"/>
  <c r="D38" i="1" s="1"/>
  <c r="C83" i="1"/>
  <c r="C76" i="1"/>
  <c r="D76" i="1" s="1"/>
  <c r="C79" i="2"/>
  <c r="D85" i="1"/>
  <c r="D78" i="1"/>
  <c r="D52" i="1"/>
  <c r="D51" i="1"/>
  <c r="C60" i="2"/>
  <c r="C53" i="1"/>
  <c r="D63" i="1"/>
  <c r="D50" i="1"/>
  <c r="D48" i="1"/>
  <c r="D47" i="1"/>
  <c r="D49" i="1"/>
  <c r="D46" i="1"/>
  <c r="D37" i="1"/>
  <c r="E7" i="6" l="1"/>
  <c r="I7" i="6"/>
  <c r="J7" i="6" s="1"/>
  <c r="K7" i="6" s="1"/>
  <c r="L7" i="6" s="1"/>
  <c r="E68" i="5" s="1"/>
  <c r="E4" i="6"/>
  <c r="I4" i="6"/>
  <c r="J4" i="6" s="1"/>
  <c r="K4" i="6" s="1"/>
  <c r="L4" i="6" s="1"/>
  <c r="E5" i="6"/>
  <c r="I5" i="6"/>
  <c r="J5" i="6" s="1"/>
  <c r="K5" i="6" s="1"/>
  <c r="L5" i="6" s="1"/>
  <c r="E6" i="6"/>
  <c r="I6" i="6"/>
  <c r="J6" i="6" s="1"/>
  <c r="K6" i="6" s="1"/>
  <c r="L6" i="6" s="1"/>
  <c r="E67" i="5" s="1"/>
  <c r="E19" i="6"/>
  <c r="I19" i="6"/>
  <c r="J19" i="6" s="1"/>
  <c r="K19" i="6" s="1"/>
  <c r="L19" i="6" s="1"/>
  <c r="E80" i="5" s="1"/>
  <c r="E9" i="6"/>
  <c r="I9" i="6"/>
  <c r="J9" i="6" s="1"/>
  <c r="K9" i="6" s="1"/>
  <c r="L9" i="6" s="1"/>
  <c r="E70" i="5" s="1"/>
  <c r="E15" i="6"/>
  <c r="I15" i="6"/>
  <c r="J15" i="6" s="1"/>
  <c r="K15" i="6" s="1"/>
  <c r="L15" i="6" s="1"/>
  <c r="E76" i="5" s="1"/>
  <c r="E20" i="6"/>
  <c r="I20" i="6"/>
  <c r="J20" i="6" s="1"/>
  <c r="K20" i="6" s="1"/>
  <c r="L20" i="6" s="1"/>
  <c r="E81" i="5" s="1"/>
  <c r="E12" i="6"/>
  <c r="I12" i="6"/>
  <c r="J12" i="6" s="1"/>
  <c r="K12" i="6" s="1"/>
  <c r="L12" i="6" s="1"/>
  <c r="E73" i="5" s="1"/>
  <c r="E22" i="6"/>
  <c r="I22" i="6"/>
  <c r="J22" i="6" s="1"/>
  <c r="K22" i="6" s="1"/>
  <c r="L22" i="6" s="1"/>
  <c r="E83" i="5" s="1"/>
  <c r="E13" i="6"/>
  <c r="I13" i="6"/>
  <c r="J13" i="6" s="1"/>
  <c r="K13" i="6" s="1"/>
  <c r="L13" i="6" s="1"/>
  <c r="E74" i="5" s="1"/>
  <c r="E18" i="6"/>
  <c r="I18" i="6"/>
  <c r="J18" i="6" s="1"/>
  <c r="K18" i="6" s="1"/>
  <c r="L18" i="6" s="1"/>
  <c r="E79" i="5" s="1"/>
  <c r="E8" i="6"/>
  <c r="I8" i="6"/>
  <c r="J8" i="6" s="1"/>
  <c r="K8" i="6" s="1"/>
  <c r="L8" i="6" s="1"/>
  <c r="E69" i="5" s="1"/>
  <c r="E16" i="6"/>
  <c r="I16" i="6"/>
  <c r="J16" i="6" s="1"/>
  <c r="K16" i="6" s="1"/>
  <c r="L16" i="6" s="1"/>
  <c r="E77" i="5" s="1"/>
  <c r="E11" i="6"/>
  <c r="I11" i="6"/>
  <c r="J11" i="6" s="1"/>
  <c r="K11" i="6" s="1"/>
  <c r="L11" i="6" s="1"/>
  <c r="E14" i="6"/>
  <c r="I14" i="6"/>
  <c r="J14" i="6" s="1"/>
  <c r="K14" i="6" s="1"/>
  <c r="L14" i="6" s="1"/>
  <c r="E75" i="5" s="1"/>
  <c r="E21" i="6"/>
  <c r="I21" i="6"/>
  <c r="J21" i="6" s="1"/>
  <c r="K21" i="6" s="1"/>
  <c r="L21" i="6" s="1"/>
  <c r="E17" i="6"/>
  <c r="I17" i="6"/>
  <c r="J17" i="6" s="1"/>
  <c r="K17" i="6" s="1"/>
  <c r="L17" i="6" s="1"/>
  <c r="E78" i="5" s="1"/>
  <c r="E10" i="6"/>
  <c r="I10" i="6"/>
  <c r="J10" i="6" s="1"/>
  <c r="K10" i="6" s="1"/>
  <c r="L10" i="6" s="1"/>
  <c r="E71" i="5" s="1"/>
  <c r="E72" i="5"/>
  <c r="E61" i="5"/>
  <c r="C5" i="5" s="1"/>
  <c r="D101" i="2" s="1"/>
  <c r="C86" i="1"/>
  <c r="D107" i="1"/>
  <c r="D117" i="1" s="1"/>
  <c r="D119" i="1" s="1"/>
  <c r="D145" i="1" s="1"/>
  <c r="D83" i="1"/>
  <c r="D86" i="1" s="1"/>
  <c r="D91" i="1" s="1"/>
  <c r="C39" i="1"/>
  <c r="C79" i="1"/>
  <c r="C49" i="2"/>
  <c r="D69" i="1"/>
  <c r="D39" i="1"/>
  <c r="D40" i="1" s="1"/>
  <c r="D41" i="1" s="1"/>
  <c r="D67" i="1" s="1"/>
  <c r="C40" i="1"/>
  <c r="C41" i="1" s="1"/>
  <c r="D79" i="1"/>
  <c r="D90" i="1" s="1"/>
  <c r="D53" i="1"/>
  <c r="D68" i="1" s="1"/>
  <c r="E82" i="5" l="1"/>
  <c r="E66" i="5"/>
  <c r="I23" i="6"/>
  <c r="D124" i="1"/>
  <c r="D92" i="1"/>
  <c r="D144" i="1" s="1"/>
  <c r="J23" i="6"/>
  <c r="D70" i="1"/>
  <c r="D143" i="1" s="1"/>
  <c r="K23" i="6" l="1"/>
  <c r="E65" i="5"/>
  <c r="E84" i="5" s="1"/>
  <c r="L23" i="6" l="1"/>
  <c r="C6" i="5"/>
  <c r="D102" i="2" s="1"/>
  <c r="D125" i="1" l="1"/>
  <c r="F88" i="5"/>
  <c r="H88" i="5"/>
  <c r="I88" i="5" s="1"/>
  <c r="J88" i="5"/>
  <c r="K88" i="5"/>
  <c r="G88" i="5"/>
  <c r="E94" i="5" s="1"/>
  <c r="L88" i="5"/>
  <c r="E98" i="5" l="1"/>
  <c r="E99" i="5" s="1"/>
  <c r="C7" i="5" s="1"/>
  <c r="D100" i="2" s="1"/>
  <c r="D123" i="1" s="1"/>
  <c r="D126" i="1" s="1"/>
  <c r="D146" i="1" s="1"/>
  <c r="D147" i="1" s="1"/>
  <c r="D128" i="1" l="1"/>
  <c r="D132" i="1" s="1"/>
  <c r="D133" i="1" s="1"/>
  <c r="D137" i="1" l="1"/>
  <c r="D135" i="1"/>
  <c r="D136" i="1"/>
  <c r="D138" i="1" l="1"/>
  <c r="D148" i="1" s="1"/>
  <c r="D149" i="1" s="1"/>
  <c r="D153" i="1" s="1"/>
  <c r="D155" i="1" s="1"/>
  <c r="D156" i="1" s="1"/>
  <c r="D157" i="1" s="1"/>
</calcChain>
</file>

<file path=xl/sharedStrings.xml><?xml version="1.0" encoding="utf-8"?>
<sst xmlns="http://schemas.openxmlformats.org/spreadsheetml/2006/main" count="788" uniqueCount="360">
  <si>
    <t>Categoria Profissional</t>
  </si>
  <si>
    <t>Discriminação dos Serviços</t>
  </si>
  <si>
    <t>A</t>
  </si>
  <si>
    <t>B</t>
  </si>
  <si>
    <t>C</t>
  </si>
  <si>
    <t>D</t>
  </si>
  <si>
    <t>Data de apresentação da proposta</t>
  </si>
  <si>
    <t>Município</t>
  </si>
  <si>
    <t>Ano do Acordo, Convenção ou Dissídio Coletivo</t>
  </si>
  <si>
    <t>Número de meses de execução contratual</t>
  </si>
  <si>
    <t>Identificação do Serviço</t>
  </si>
  <si>
    <t>Tipo de Serviço</t>
  </si>
  <si>
    <t>Unidade de Medida</t>
  </si>
  <si>
    <t>Quantidade total de postos</t>
  </si>
  <si>
    <t>Dados para composição dos custos referente à mão-de-obra</t>
  </si>
  <si>
    <t>Tipo de serviço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</si>
  <si>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</si>
  <si>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</si>
  <si>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</si>
  <si>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(dd/mm/aaaa)</t>
  </si>
  <si>
    <t>MÓDULO 1 - COMPOSIÇÃO DA REMUNERAÇÃO</t>
  </si>
  <si>
    <t>CATEGORIA PROFISSIONAL</t>
  </si>
  <si>
    <t>SERVENTE DE LIMPEZA</t>
  </si>
  <si>
    <t>MÓDULO 1 - COMPOSIÇÃO DA REMUNERAÇÃO - SALÁRIO BASE</t>
  </si>
  <si>
    <t>Item</t>
  </si>
  <si>
    <t>%</t>
  </si>
  <si>
    <t>Memória de Cálculo</t>
  </si>
  <si>
    <t>Fundamento</t>
  </si>
  <si>
    <t>Salário Base</t>
  </si>
  <si>
    <t>-</t>
  </si>
  <si>
    <t>Valor</t>
  </si>
  <si>
    <t>E</t>
  </si>
  <si>
    <t>F</t>
  </si>
  <si>
    <t>G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</si>
  <si>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</si>
  <si>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</si>
  <si>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</si>
  <si>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</si>
  <si>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</si>
  <si>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</si>
  <si>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DO MÓDULO 1</t>
  </si>
  <si>
    <t>MÓDULO 2 - BENEFÍCIOS MENSAIS E DIÁRIOS</t>
  </si>
  <si>
    <t>Submódulo 2.1: 13º (décimo terceiro) salário e adicional de férias</t>
  </si>
  <si>
    <t>13º Salário</t>
  </si>
  <si>
    <t>Adicional de Férias</t>
  </si>
  <si>
    <t>Descrição</t>
  </si>
  <si>
    <t>Valor (R$)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</si>
  <si>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</si>
  <si>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</si>
  <si>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</si>
  <si>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</si>
  <si>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do Submódulo 2.1</t>
  </si>
  <si>
    <t>Incidência do Submódulo 2.2 sobre o Total do Submódulo 2.1</t>
  </si>
  <si>
    <t>Submódulo 2.2: Encargos Previdenciários (GPS), Fundo de Garantia por Tempo de Serviço (FGTS) e outras contribuições</t>
  </si>
  <si>
    <t>INSS</t>
  </si>
  <si>
    <t>Salário Educação</t>
  </si>
  <si>
    <t>Riscos Ambientais do Trabalho - RAT x FAP</t>
  </si>
  <si>
    <t>SESC ou SESI</t>
  </si>
  <si>
    <t>SENAI - SENAC</t>
  </si>
  <si>
    <t>SEBRAE</t>
  </si>
  <si>
    <t>INCRA</t>
  </si>
  <si>
    <t>FGTS</t>
  </si>
  <si>
    <t>H</t>
  </si>
  <si>
    <t>Total dos Encargos</t>
  </si>
  <si>
    <t>Art. 22, Inciso I, da Lei nº 8.212/91.</t>
  </si>
  <si>
    <t>Art. 3º, Inciso I, Decreto n.º 87.043/82.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</si>
  <si>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</si>
  <si>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</si>
  <si>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</si>
  <si>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</si>
  <si>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8.036/90 e Art. 7º, III, CF.</t>
  </si>
  <si>
    <t>TOTAL A + B</t>
  </si>
  <si>
    <t>Incidência do Submódulo 2.2 sobre o Total A+B</t>
  </si>
  <si>
    <t>TOTAL SUBMÓDULO 2.1</t>
  </si>
  <si>
    <t>TOTAL SUBMÓDULO 2.2</t>
  </si>
  <si>
    <t>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</si>
  <si>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Submódulo 2.3: Encargos Sociais e Trabalhistas</t>
  </si>
  <si>
    <t>Transporte</t>
  </si>
  <si>
    <t>Assistência médica e familiar</t>
  </si>
  <si>
    <t>Auxílio Creche</t>
  </si>
  <si>
    <t>Seguro de Vida, Invalidez e Funeral</t>
  </si>
  <si>
    <t>Auxílio alimentação</t>
  </si>
  <si>
    <t>Valor apurado em planilha auxiliar após pesquisa mercadológica</t>
  </si>
  <si>
    <r>
      <rPr>
        <b/>
        <sz val="10"/>
        <color theme="1"/>
        <rFont val="Tahoma"/>
        <family val="2"/>
      </rPr>
      <t>(Valor do vale x 2 x 22 dias úteis) - (0,06 x Salário Base)</t>
    </r>
    <r>
      <rPr>
        <sz val="10"/>
        <color theme="1"/>
        <rFont val="Tahoma"/>
        <family val="2"/>
      </rPr>
      <t xml:space="preserve">
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  </r>
  </si>
  <si>
    <t>Submódulo 2.3 - Benefícios Mensais e Diários</t>
  </si>
  <si>
    <t>TOTAL SUBMÓDULO 2.3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</si>
  <si>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</si>
  <si>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</si>
  <si>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</si>
  <si>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</si>
  <si>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</si>
  <si>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</si>
  <si>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MÓDULO 2 - BENEFÍCIOS MENSAIS E DIÁRIOS - QUADRO-RESUMO</t>
  </si>
  <si>
    <t>MÓDULO 3 - PROVISÃO PARA RESCISÃO</t>
  </si>
  <si>
    <t>Submódulo 3.1 - Aviso Prévio Indenizado</t>
  </si>
  <si>
    <t>TOTAL</t>
  </si>
  <si>
    <t>Aviso Prévio Indenizado</t>
  </si>
  <si>
    <t>Incidência do FGTS sobre o Aviso Prévio Indenizado</t>
  </si>
  <si>
    <t>{[10% x(1/12)]x100} = 0,833%</t>
  </si>
  <si>
    <t>0,08 x {[10%x(1/12)]x100}= 0,067%</t>
  </si>
  <si>
    <t>Art. 7º, XXI, CF/88; art. 487, § 1º, CLT</t>
  </si>
  <si>
    <t>Súmula n.º 305 do TST</t>
  </si>
  <si>
    <t>Art. 18, § 1º, Lei 8.036/90</t>
  </si>
  <si>
    <t>TOTAL SUBMÓDULO 3.1</t>
  </si>
  <si>
    <t>Submódulo 3.2 - Aviso Prévio Trabalhado</t>
  </si>
  <si>
    <t>Aviso Prévio Trabalhado</t>
  </si>
  <si>
    <t>Incidência dos encargos do submódulo 2.2 sobre o Aviso Prévio Trabalhado</t>
  </si>
  <si>
    <t>{[90%x(7/30)/12]x100} = 1,750%</t>
  </si>
  <si>
    <t>{[90%x(7/30)/12]x100}  x Total do submódulo 2.2</t>
  </si>
  <si>
    <t>MÓDULO 3 - PROVISÃO PARA RESCISÃO - QUADRO-RESUMO</t>
  </si>
  <si>
    <t>TOTAL MÓDULO 2</t>
  </si>
  <si>
    <t>TOTAL MÓDULO 3</t>
  </si>
  <si>
    <t>MÓDULO 4 - CUSTO DE REPOSIÇÃO DO PROFISSIONAL AUSENTE</t>
  </si>
  <si>
    <t>Submódulo 4.1 - Ausências Legais</t>
  </si>
  <si>
    <t>I</t>
  </si>
  <si>
    <t>Substituto das Férias</t>
  </si>
  <si>
    <t>Incidência do Submódulo 2.2 sobre as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</si>
  <si>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</si>
  <si>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</si>
  <si>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</si>
  <si>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</si>
  <si>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</si>
  <si>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</si>
  <si>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Incidência do Submódulo 2.2 sobre os itens C, D, E, F, G, H do submódulo 4.1</t>
  </si>
  <si>
    <t xml:space="preserve">{[((1 x 1 )/30)/12]x100} </t>
  </si>
  <si>
    <t>{[(0,1344*2+0,0305*2*(252/365)+0,0118*3+0,02*1+0,004*1+0,0016*6)/30]/12}</t>
  </si>
  <si>
    <t>{[1*5*(252/365)]/30}/12</t>
  </si>
  <si>
    <t>[(5/30)/12]*0,0143*(252/365)</t>
  </si>
  <si>
    <t>{{(15/30)/12*(0,0922*(252/365)]}</t>
  </si>
  <si>
    <t>{[1+(1/3))*((4/12))/12*(0,0197*(252/365)]}</t>
  </si>
  <si>
    <t>Art. 7º, XVII, CF/88; arts. 129-153, CLT</t>
  </si>
  <si>
    <t>Estudo FIA 2014/15.</t>
  </si>
  <si>
    <t>Incisos I, II, IV,VIII,X, XI do art. 473 da CLT</t>
  </si>
  <si>
    <t>Art. 59 a 64 da Lei n.º 8.213/91.</t>
  </si>
  <si>
    <t>Art. 7º, XIX, CF/88 e 10, § 1º, da CLT e inciso II do art. 1º da Lei nº 11.770, de 9 de setembro de 2008</t>
  </si>
  <si>
    <t>§ 2º do art. 43 da Lei 8.213, de 24 de julho de 1991.</t>
  </si>
  <si>
    <t>Impacto do item férias sobre a licença maternidade, visto que a licença é paga pelo INSS e não gera custo e reposição, inciso I do art. 1º da Lei nº 11.770, de 9 de setembro de 2008</t>
  </si>
  <si>
    <r>
      <t xml:space="preserve">Observação 1: </t>
    </r>
    <r>
      <rPr>
        <sz val="10"/>
        <color theme="1"/>
        <rFont val="Tahoma"/>
        <family val="2"/>
      </rPr>
      <t xml:space="preserve">A licitante deve preencher o item "C" das planilhas de composição de custos e formação de preços com o valor de seu FAP, a ser comprovado no envio de sua proposta adequada ao lance vencedor, mediante apresentação da GFIP ou outro documento apto a fazê-lo, conforme item </t>
    </r>
    <r>
      <rPr>
        <sz val="10"/>
        <color rgb="FFFF0000"/>
        <rFont val="Tahoma"/>
        <family val="2"/>
      </rPr>
      <t>xx do Edital</t>
    </r>
    <r>
      <rPr>
        <sz val="10"/>
        <color theme="1"/>
        <rFont val="Tahoma"/>
        <family val="2"/>
      </rPr>
      <t>.</t>
    </r>
  </si>
  <si>
    <r>
      <t>Observação 2:</t>
    </r>
    <r>
      <rPr>
        <sz val="10"/>
        <color rgb="FFFF0000"/>
        <rFont val="Tahoma"/>
        <family val="2"/>
      </rPr>
      <t xml:space="preserve"> Caso a licitante opte pela desoneração contida na Lei 12.546/2011, tem que zerar o item "A" e adicionar a alíquota de desoneração no Módulo 6 da planilha, conforme item xx do Edital</t>
    </r>
  </si>
  <si>
    <r>
      <t>Ausência Justificada:</t>
    </r>
    <r>
      <rPr>
        <sz val="10"/>
        <color theme="1"/>
        <rFont val="Tahoma"/>
        <family val="2"/>
      </rPr>
      <t xml:space="preserve"> Média estimada (1x1=1) de ausência justificada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</si>
  <si>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Ausências Legais: </t>
    </r>
    <r>
      <rPr>
        <sz val="10"/>
        <color theme="1"/>
        <rFont val="Tahoma"/>
        <family val="2"/>
      </rPr>
      <t>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</si>
  <si>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 por Doença: </t>
    </r>
    <r>
      <rPr>
        <sz val="10"/>
        <color theme="1"/>
        <rFont val="Tahoma"/>
        <family val="2"/>
      </rPr>
      <t>Média estimada (1 x 5 x 252/365 = 3,4521) de ausência por doença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</si>
  <si>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Licença Paternidade: </t>
    </r>
    <r>
      <rPr>
        <sz val="10"/>
        <color theme="1"/>
        <rFont val="Tahoma"/>
        <family val="2"/>
      </rPr>
      <t>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  </r>
  </si>
  <si>
    <r>
      <t xml:space="preserve">Ausência por Acidente de Trabalho: </t>
    </r>
    <r>
      <rPr>
        <sz val="10"/>
        <color theme="1"/>
        <rFont val="Tahoma"/>
        <family val="2"/>
      </rPr>
      <t>Estimativa de 15 (quinze) dias por ano combinada com estimativa (0,0922x252/365=0,063656)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</si>
  <si>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Afastamento Maternidade: </t>
    </r>
    <r>
      <rPr>
        <sz val="10"/>
        <color theme="1"/>
        <rFont val="Tahoma"/>
        <family val="2"/>
      </rPr>
      <t>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</si>
  <si>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Submódulo 4.2 - Intrajornada</t>
  </si>
  <si>
    <t>Intervalo para repouso ou alimentação</t>
  </si>
  <si>
    <t>Incidência do submódulo 2.2 sobre o intervalo para repouso ou alimentação</t>
  </si>
  <si>
    <t>TOTAL SUBMÓDULO 4.1</t>
  </si>
  <si>
    <t>MÓDULO 5 - INSUMOS DIVERSOS</t>
  </si>
  <si>
    <t>Uniformes</t>
  </si>
  <si>
    <t>Materiais</t>
  </si>
  <si>
    <t>Equipamentos</t>
  </si>
  <si>
    <t>Conforme Planilha Anexa</t>
  </si>
  <si>
    <t>TOTAL DO MÓDULO 5</t>
  </si>
  <si>
    <t>MÓDULO 4 - CUSTO DE REPOSIÇÃO DO PROFISSIONAL AUSENTE - QUADRO-RESUMO</t>
  </si>
  <si>
    <t>Ausências legais</t>
  </si>
  <si>
    <t>Intrajornada</t>
  </si>
  <si>
    <t>TOTAL MÓDULO 4</t>
  </si>
  <si>
    <t>SOMA DOS MÓDULOS 1, 2, 3, 4 e 5</t>
  </si>
  <si>
    <t>MÓDULO 6 - CUSTOS INDIRETOS, TRIBUTOS E LUCRO</t>
  </si>
  <si>
    <t>Custos Indiretos</t>
  </si>
  <si>
    <t>Lucro</t>
  </si>
  <si>
    <t>Tributos</t>
  </si>
  <si>
    <t>C.1</t>
  </si>
  <si>
    <t>C.2</t>
  </si>
  <si>
    <t>C.3</t>
  </si>
  <si>
    <t>Tributos Federais (PIS e COFINS)</t>
  </si>
  <si>
    <t>Tributos Estaduais</t>
  </si>
  <si>
    <t>Tributos Municipais (ISS)</t>
  </si>
  <si>
    <t>PIS: 1,65% e COFINS: 7,60%</t>
  </si>
  <si>
    <t>ISS: 5% (Alíquota máxima)</t>
  </si>
  <si>
    <t>Para fins de estimativa do Tribunal de Justiça do Piauí,  os Custos Indiretos são definido em 3,00%. Os percentuais são estimados conforme página 21 do Caderno de Estudo sobre a Composição dos Custos dos Valores Limites dos Serviços de Serviços de Limpeza e Conservação do Piauí. Disponível no Link https://www.gov.br/compras/pt-br/agente-publico/cadernos-tecnicos-e-valores-limites/cts-2019/ct_lim_pi_2019.pdf</t>
  </si>
  <si>
    <t>Para fins de estimativa do Tribunal de Justiça do Piauí, o Lucro é definido em 6,79%. Os percentuais são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</si>
  <si>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r>
      <t xml:space="preserve">Observação 2: </t>
    </r>
    <r>
      <rPr>
        <sz val="10"/>
        <color theme="1"/>
        <rFont val="Tahoma"/>
        <family val="2"/>
      </rPr>
      <t>Multa do FGTS sobre os funcionários  despedidos sem justa por aviso prévio trabalhado , sendo o percentual vinculado e imutável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</si>
  <si>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>Os tributos (ISS, COFINS e PIS) foram definidos utilizando o regime de tributação de Lucro REAL, a licitante deve elaborar sua proposta e, por conseguinte, sua planilha com base no regime de tributação ao qual estará submetido durante a execução do contrato.</t>
    </r>
  </si>
  <si>
    <r>
      <t xml:space="preserve">Observação 2: </t>
    </r>
    <r>
      <rPr>
        <sz val="10"/>
        <color theme="1"/>
        <rFont val="Tahoma"/>
        <family val="2"/>
      </rPr>
      <t>Em decorrência do ISSQN, a planilha de custo  poderá sofrer revisões  de acordo com a Lei Tributária do Município onde se realizará a prestação de serviço.</t>
    </r>
  </si>
  <si>
    <r>
      <t xml:space="preserve">Observação 1: </t>
    </r>
    <r>
      <rPr>
        <sz val="10"/>
        <color theme="1"/>
        <rFont val="Tahoma"/>
        <family val="2"/>
      </rPr>
      <t>Redução de 7 dias ou de 2h por dia. Percentual relativo a contrato de 12 (doze) meses.</t>
    </r>
  </si>
  <si>
    <r>
      <t xml:space="preserve">Cálculo: </t>
    </r>
    <r>
      <rPr>
        <sz val="10"/>
        <color theme="1"/>
        <rFont val="Tahoma"/>
        <family val="2"/>
      </rPr>
      <t>{[Total (Remuneração + Encargos Sociais + Insumos) + Total (Lucro e despesas indiretas)] / [1-(COFINS + PIS + ISS)]/100]} x Alíquota</t>
    </r>
  </si>
  <si>
    <t>TRIBUTOS</t>
  </si>
  <si>
    <t>QUADRO RESUMO DO CUSTO POR EMPREGADO</t>
  </si>
  <si>
    <t>MÓDULO 2 - ENCARGOS E BENEFÍCIOS ANUAIS, MENSAIS E DIÁRIOS</t>
  </si>
  <si>
    <t>SUBTOTAL (A + B + C + D + E)</t>
  </si>
  <si>
    <t>MÓDULO 6 - CUSTOS INDIRETOS, LUCROS E TRIBUTOS</t>
  </si>
  <si>
    <t>PREÇO TOTAL POR POSTO</t>
  </si>
  <si>
    <t>TOTAL DO MÓDULO 6</t>
  </si>
  <si>
    <t>QUADRO RESUMO DO VALOR MENSAL DOS SERVIÇOS</t>
  </si>
  <si>
    <t>Quantidade de Postos</t>
  </si>
  <si>
    <t>Valor Mensal do Posto</t>
  </si>
  <si>
    <t>VALOR TOTAL MENSAL</t>
  </si>
  <si>
    <t>VALOR TOTAL ANUAL</t>
  </si>
  <si>
    <t>Cotação 1</t>
  </si>
  <si>
    <t>Cotação 2</t>
  </si>
  <si>
    <t>MÉDIA</t>
  </si>
  <si>
    <t>MEDIANA</t>
  </si>
  <si>
    <t>DESVIO PADRÃO</t>
  </si>
  <si>
    <t>COEFICIENTE DE VARIAÇÃO</t>
  </si>
  <si>
    <t>Assistência médica e familiar (Plano de saúde)</t>
  </si>
  <si>
    <t>Seguro de vida, invalidez e funeral</t>
  </si>
  <si>
    <t>Valor Total Estimado</t>
  </si>
  <si>
    <t>PESQUISA DE MERCADO</t>
  </si>
  <si>
    <t>Submódulo 5</t>
  </si>
  <si>
    <t>Valor Total Mensal</t>
  </si>
  <si>
    <t>MATERIAIS</t>
  </si>
  <si>
    <t>Relação da Cotação com a Média dos Demais Preços</t>
  </si>
  <si>
    <t>Qtd</t>
  </si>
  <si>
    <t>Unidade</t>
  </si>
  <si>
    <t>Quantidade Mensal</t>
  </si>
  <si>
    <t>Valor Referencial Mensal</t>
  </si>
  <si>
    <t>Valor Referencial Unitário</t>
  </si>
  <si>
    <t>COTAÇÃO 01</t>
  </si>
  <si>
    <t>COTAÇÃO 02</t>
  </si>
  <si>
    <t>COTAÇÃO 03</t>
  </si>
  <si>
    <t>Média</t>
  </si>
  <si>
    <t>Mediana</t>
  </si>
  <si>
    <t>Desvio Padrão</t>
  </si>
  <si>
    <t>Coeficiente de variação</t>
  </si>
  <si>
    <t>Água sanitária</t>
  </si>
  <si>
    <t>LITRO</t>
  </si>
  <si>
    <t>Álcool líquido</t>
  </si>
  <si>
    <t>UNIDADE</t>
  </si>
  <si>
    <t>Brilho inox em embalagem de 500ml</t>
  </si>
  <si>
    <t>FRASCO</t>
  </si>
  <si>
    <t>Desentupidor para vasos sanitários.</t>
  </si>
  <si>
    <t>Desinfetante para banheiros e sanitários (Galão 5L)</t>
  </si>
  <si>
    <t>CAIXA C/24 UN</t>
  </si>
  <si>
    <t>Disco branco em fibra para limpeza 350mm</t>
  </si>
  <si>
    <t>3M</t>
  </si>
  <si>
    <t>Disco branco em fibra para limpeza 410mm</t>
  </si>
  <si>
    <t>Disco branco em fibra para limpeza 510mm</t>
  </si>
  <si>
    <t>Disco preto em fibra para limpeza 350mm</t>
  </si>
  <si>
    <t>Disco preto em fibra para limpeza 410mm</t>
  </si>
  <si>
    <t>Disco preto em fibra para limpeza 510mm</t>
  </si>
  <si>
    <t>Disco rubi em fibra para limpeza 510 mm</t>
  </si>
  <si>
    <t>Disco verde em fibra para limpeza 350mm</t>
  </si>
  <si>
    <t>Disco verde em fibra para limpeza 410mm</t>
  </si>
  <si>
    <t>Disco verde em fibra para limpeza 510mm</t>
  </si>
  <si>
    <t>Dispensador para Papel Higiênico rolão</t>
  </si>
  <si>
    <t>Dispenser para acondicionar sabonete líquido/álcool em gel; Afixação em parede por meio de parafusos ou fita adesiva dupla face; Em material plástico, com abertura frontal por meio de chave; Acionamento por meio de botão plástico com mola interna em metal; Recipiente interno em plástico translúcido, capacidade de 800ml (fornecimento).</t>
  </si>
  <si>
    <t>Enrolador de mangueira fixo, para mangueira de até 50 metros de 1/2”</t>
  </si>
  <si>
    <t>Escova lava roupa oval base plástica ou em madeira sem cabo, tamanho aproximado: da base 6,5 x 12,5 cm; das cerdas 2,5 cm</t>
  </si>
  <si>
    <t>Esfregão retangular plano em fibra sintética.</t>
  </si>
  <si>
    <t>Esponja de fibra (dupla face)</t>
  </si>
  <si>
    <t>Gel antisséptico para mãos, em álcool etílico a 70%, com hidratante, refil 800ml (bag in box)</t>
  </si>
  <si>
    <t>REFIL</t>
  </si>
  <si>
    <t>Hipoclorito de sódio 1%</t>
  </si>
  <si>
    <t>Impermeabilizante acrílico para piso</t>
  </si>
  <si>
    <t>Kit profissional para limpeza de vidros, composto por lavador completo de 35 cm; luva refil; guias removíveis; lâmina de borracha; cabo de fixação, 1 (um)  raspador  de  segurança,  raspador  multiuso e extensão telescópica de 2,50 m.</t>
  </si>
  <si>
    <t>Lã de aço, pacote c/50g</t>
  </si>
  <si>
    <t>PACOTE</t>
  </si>
  <si>
    <t>Limpa vidros concentrado, cada unidade com 5 litros</t>
  </si>
  <si>
    <t>GALÃO</t>
  </si>
  <si>
    <t>Lixeiros com capacidade de 50 litros</t>
  </si>
  <si>
    <t>Lixeiros com capacidade entre 10 litros</t>
  </si>
  <si>
    <t>Lustra móveis à base de silicone, repelente de umidade e poeira, que permita um brilho seco - embalagem de 200 ml</t>
  </si>
  <si>
    <t>Luvas multiuso, para limpeza doméstica, em látex, flexíveis e resistentes, com bordas ajustadas para aumentar a proteção e evitar a entrada de água</t>
  </si>
  <si>
    <t>Mangueira ¾. 100 metros com revestimento trançado para limpeza de calçadas e piso da garagem e jardim</t>
  </si>
  <si>
    <t>Óculos de Proteção com lentes acrílicas e aba lateral</t>
  </si>
  <si>
    <t>Óleo de peroba 500 ml</t>
  </si>
  <si>
    <t>Pano de chão de saco alvejado especial 40x70, para limpeza de piso - cor branca</t>
  </si>
  <si>
    <t>Papel higiênico de 1ª qualidade, interfolhado, folha dupla, cor branca, 100% de fibras virgens, biodegradável, hidrossolúvel (descartável no vaso sanitário, sem perigo de entupimento), rolos 30m.</t>
  </si>
  <si>
    <t>PACOTE (64 ROLOS)</t>
  </si>
  <si>
    <t>Papel higiênico, material celulose virgem, comprimento 300 m, tipo liso, quantidade folhas duplas, cor branca</t>
  </si>
  <si>
    <t>ROLO 300M</t>
  </si>
  <si>
    <t>Pazinha de lixo</t>
  </si>
  <si>
    <t>Placa Prolim ou similar para mictório</t>
  </si>
  <si>
    <t>PEÇA</t>
  </si>
  <si>
    <t>Polidor para metais em embalagem de 200 ml</t>
  </si>
  <si>
    <t>Porta papel toalha (dispenser) para acondicionar papel toalha de 03 dobras de 26x23cm; Em material plástico, na cor branca; Afixação em parede por meio de parafusos ou de fita adesiva dupla  face;  Capacidade  para aproximadamente 500 folhas de papel toalha; Visor frontal para quantidade de papel em plástico transparente; Abertura  frontal  por  meio  de  botões  ou chave específica (fornecimento).</t>
  </si>
  <si>
    <t>Produto de limpeza para uso em piso elevado e equipamentos de informática, tipo “LIMPTEK” em embalagem de 500g</t>
  </si>
  <si>
    <t>Protetor Solar - Tipo Proteção: Uva/Uvb, Fator Proteção: Fator 50, Forma Farmacêutica: Fluido</t>
  </si>
  <si>
    <t>Refil em plástico para dispenser de sabonete líquido com 800 ml de sabonete</t>
  </si>
  <si>
    <t>Rodo c/02 borrachas c/40 cm de largura c/cabo</t>
  </si>
  <si>
    <t>Rodo duplo 40 cm em madeira com cabo.</t>
  </si>
  <si>
    <t>Rodo duplo 60 cm em madeira com cabo.</t>
  </si>
  <si>
    <t>Rodo duplo 90 cm em madeira com cabo longo.</t>
  </si>
  <si>
    <t>Sabão em barra 1ª qualidade</t>
  </si>
  <si>
    <t>Sabão em pó, cx 500 g</t>
  </si>
  <si>
    <t>CAIXA</t>
  </si>
  <si>
    <t>Sabonáceo em pó. 1ª qualidade, 500 g</t>
  </si>
  <si>
    <t>Sabonete cremoso perolado para as mãos</t>
  </si>
  <si>
    <t>Sabonete líquido, de odor agradável, com ph neutro concentrado, 5 litros</t>
  </si>
  <si>
    <t>Saco descartável para aspirador de pó</t>
  </si>
  <si>
    <t>Saco para lixo, de 100 litros, fardo com 100 unidades, cor preta</t>
  </si>
  <si>
    <t>FARDO</t>
  </si>
  <si>
    <t>Saco para lixo, de 15 litros, fardo com 100 unidades, cor preta</t>
  </si>
  <si>
    <t>Saco para lixo, de 50 litros, fardo com 100 unidades, cor preta</t>
  </si>
  <si>
    <t>Toalha de papel, interfolhado, comprimento 20 a 23 cm, largura 21 cm, cor branca, inodoro, 100% celulose, contendo 2.400 folhas.</t>
  </si>
  <si>
    <t>Vassoura de nylon, c/cabo</t>
  </si>
  <si>
    <t>Vassoura de pelo tamanho pequeno, 60 cm, com cabo</t>
  </si>
  <si>
    <t>Vassoura de pelo, 20 cm de largura c/cabo</t>
  </si>
  <si>
    <t>Vassoura de piaçava comum, 60 cm, com cabo</t>
  </si>
  <si>
    <t>Vassoura feiticeira com uma escova central</t>
  </si>
  <si>
    <t>Vassoura para limpeza de vaso sanitário</t>
  </si>
  <si>
    <t>Veneno spray aerosol para o combate de pernilongos e mosquitos da dengue em embalagem contendo 300ml.</t>
  </si>
  <si>
    <t>EQUIPAMENTOS</t>
  </si>
  <si>
    <t>Aspirador de pó/líquido, material plástico alta resistência, tensão 220 V, potência 1300 W, capacidade tanque 20 litros.</t>
  </si>
  <si>
    <t>Aspirador e extrator de líquidos e sólidos para carpete. Capacidade de aspiração 340m2 /h, com reservatório para pelo menos 60 litros, 220 V, (Aceita-se variação de 10% para mais ou para menos)</t>
  </si>
  <si>
    <t>Borrifador com capacidade para 500 ml.</t>
  </si>
  <si>
    <t>Carrinho coletor de lixo com capacidade de pelo menos120 litros.</t>
  </si>
  <si>
    <t>Carrinho multifuncional para limpeza com rodas que não marcam o piso, encaixe para balde, bolsa com tampa para fácil remoção do lixo.</t>
  </si>
  <si>
    <t>Enceradeira industrial 350 mm, Escova 350 mm, Motor Elétrico 0,75 HP, Tensão 220 V, Capacidade Operacional 1500m2 /h,</t>
  </si>
  <si>
    <t>Enceradeira industrial 410 mm para lavagem de carpete, Escova 410 mm, Motor Elétrico 1,00 HP, Tensão (V) 220, Capacidade Operacional 3200m2/h, Ø X H (mm), com reservatório para produtos (Aceita-se variação de 10% para mais ou para menos)</t>
  </si>
  <si>
    <t>Enceradeira industrial 410 mm, Escova 410 mm, Motor Elétrico (HP) 1,00, Tensão 220 V, Capacidade Operacional 2.500m2 /h. (Aceita-se variação de 10% para mais ou para menos)</t>
  </si>
  <si>
    <t>Enceradeira industrial 510 mm para lavagem de carpete, Escova 510 mm, Motor Elétrico 1,00 (HP), Tensão (V) 220, Capacidade Operacional 3200m2/h, Ø X H (mm), com reservatório para produtos (Aceita-se variação de 10% para mais ou para menos)</t>
  </si>
  <si>
    <t>Enceradeira industrial 510 mm, Escova 510 mm, Motor Elétrico 1,00 (HP), Tensão (V) 220, Capacidade Operacional 3500m2 h. (Aceita-se variação de 10% para mais ou para menos)</t>
  </si>
  <si>
    <t>Escada de alumínio dobrável 6 degraus com proteção nos pés.</t>
  </si>
  <si>
    <t>Escada de ferro ou alumínio, tipo cavalete, com 7 degraus</t>
  </si>
  <si>
    <t>Escada dupla extensiva, confeccionada em alumínio, com 4,5 m de altura quando fechada e de 7,5 metros de altura 4
quando esticada.</t>
  </si>
  <si>
    <t>Esguicho tipo pistola para mangueira com rosca ¾ em metal.</t>
  </si>
  <si>
    <t>Extensões de100 metros - fio de 2,5mm</t>
  </si>
  <si>
    <t>Lavadora e secadora de pisos elétrica, 220 V, com escova tipo disco para limpeza de todos os tipos de piso e sujidade em áreas pequenas e médias. Faixa de limpeza de 510mm e reservatório de água limpa/suja de 40/40 litros. (Aceita-se variação de 10% para mais ou para menos)</t>
  </si>
  <si>
    <t>Placa sinalizadora de chão, medindo 65x30cm, contendo a frase: “Banheiro em Manutenção”</t>
  </si>
  <si>
    <t>Placa sinalizadora de chão, medindo 65x30cm, contendo a frase: “Piso molhado”</t>
  </si>
  <si>
    <t>Varredeira mecânica compacta para uso interno e externo em todos os tipos de piso e sujidade c/ dupla escova</t>
  </si>
  <si>
    <t>UNIFORMES</t>
  </si>
  <si>
    <t>Camisa de mangas curtas, tipo polo, em tecido 100% algodão, com emblema da empresa contratada.</t>
  </si>
  <si>
    <t>Calça comprida, com cor escura, em tecido 100% algodão.</t>
  </si>
  <si>
    <t>Par de meias</t>
  </si>
  <si>
    <t>Par de calçados pretos (apropriados ao serviço), a cada 6 meses</t>
  </si>
  <si>
    <t>EQUIPAMENTOS, ACESSÓRIOS E EPI'S</t>
  </si>
  <si>
    <t>Valor Total Por Quantidade Estimada</t>
  </si>
  <si>
    <t>Valor Total Referencial</t>
  </si>
  <si>
    <t>NCM</t>
  </si>
  <si>
    <t>Vida Útil</t>
  </si>
  <si>
    <t>Depreciação Anual</t>
  </si>
  <si>
    <t>Extensões de 100 metros - fio de 2,5mm</t>
  </si>
  <si>
    <t>3926.90.90</t>
  </si>
  <si>
    <t>INSUMOS E EQUIPAMENTOS</t>
  </si>
  <si>
    <t>TERESINA</t>
  </si>
  <si>
    <t>Posto</t>
  </si>
  <si>
    <t>5143-20</t>
  </si>
  <si>
    <t>VALOR TOTAL (36 meses)</t>
  </si>
  <si>
    <t>&lt;&lt;&lt;&lt;&lt;&lt;&lt; Valor que vai para a planilha Memória de Cálculo</t>
  </si>
  <si>
    <t>Quantidade Anual</t>
  </si>
  <si>
    <t>Valor Médio Anual</t>
  </si>
  <si>
    <t>Valor Total Anual</t>
  </si>
  <si>
    <t>Valor Mensal Por Posto</t>
  </si>
  <si>
    <r>
      <t xml:space="preserve">Balde plástico com capacidade para </t>
    </r>
    <r>
      <rPr>
        <sz val="11"/>
        <color rgb="FFFF0000"/>
        <rFont val="Tahoma"/>
        <family val="2"/>
      </rPr>
      <t>(12L)</t>
    </r>
  </si>
  <si>
    <r>
      <t xml:space="preserve">Desodorizador de ambiente, fragância lavanda </t>
    </r>
    <r>
      <rPr>
        <sz val="11"/>
        <color rgb="FFFF4000"/>
        <rFont val="Tahoma"/>
        <family val="2"/>
      </rPr>
      <t>(360ml)</t>
    </r>
  </si>
  <si>
    <r>
      <t>Desodorizador para sanitário</t>
    </r>
    <r>
      <rPr>
        <sz val="11"/>
        <color rgb="FFFF4000"/>
        <rFont val="Tahoma"/>
        <family val="2"/>
      </rPr>
      <t xml:space="preserve"> (35g)</t>
    </r>
  </si>
  <si>
    <r>
      <t xml:space="preserve">Detergente Líquido para pisos de banheiros e superfícies brancas, 500ml, Caixa  </t>
    </r>
    <r>
      <rPr>
        <sz val="11"/>
        <color rgb="FFFF4000"/>
        <rFont val="Tahoma"/>
        <family val="2"/>
      </rPr>
      <t>(c/24un)</t>
    </r>
  </si>
  <si>
    <r>
      <t xml:space="preserve">Flanela branca/amarela de 1ª qualidade, medindo </t>
    </r>
    <r>
      <rPr>
        <sz val="11"/>
        <color rgb="FFFF4000"/>
        <rFont val="Tahoma"/>
        <family val="2"/>
      </rPr>
      <t xml:space="preserve"> (40x60)</t>
    </r>
  </si>
  <si>
    <r>
      <t xml:space="preserve">Limpa carpete líquido de PH neutro para limpeza de carpetes, tapetes e sofás </t>
    </r>
    <r>
      <rPr>
        <sz val="11"/>
        <color rgb="FFFF4000"/>
        <rFont val="Tahoma"/>
        <family val="2"/>
      </rPr>
      <t>(500ml)</t>
    </r>
  </si>
  <si>
    <r>
      <t xml:space="preserve">Limpa couro em aerosol, para couro e vinil, , para limpar e hidratar </t>
    </r>
    <r>
      <rPr>
        <sz val="11"/>
        <color rgb="FFFF4000"/>
        <rFont val="Tahoma"/>
        <family val="2"/>
      </rPr>
      <t>(500ml)</t>
    </r>
  </si>
  <si>
    <t>Cotação 3</t>
  </si>
  <si>
    <t>O valor do auxílio-alimentação foi calculado com nos valores estabelecidos na Convenção Coletiva da Categoria 2023/2023 registrada no MTE sob o nº  PI000066/2023</t>
  </si>
  <si>
    <t>PI000066/2023</t>
  </si>
  <si>
    <t>Limpeza e Conservação</t>
  </si>
  <si>
    <t>TOTAL ANUAL</t>
  </si>
  <si>
    <r>
      <t xml:space="preserve">Observação 1: </t>
    </r>
    <r>
      <rPr>
        <sz val="10"/>
        <color theme="1"/>
        <rFont val="Tahoma"/>
        <family val="2"/>
      </rPr>
      <t>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781/2022.</t>
    </r>
  </si>
  <si>
    <r>
      <t>Observação 2:</t>
    </r>
    <r>
      <rPr>
        <sz val="10"/>
        <color theme="1"/>
        <rFont val="Tahoma"/>
        <family val="2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781/2022.</t>
    </r>
  </si>
  <si>
    <t>Taxa de Depreciação Anual</t>
  </si>
  <si>
    <t>Valor Base p/ Cálculo da Depreciação</t>
  </si>
  <si>
    <t>Custo da Depreciação Mensal (p/ equipamento)</t>
  </si>
  <si>
    <t>Custo da Depreciação Mensal (Total)</t>
  </si>
  <si>
    <t>{0,08 x 0,4 x 90% x [1 + 1/12 + (1/3*1/12)] x 100}</t>
  </si>
  <si>
    <t>Multa do FGTS em caso de demissões mediante aviso prévio
trabalhado</t>
  </si>
  <si>
    <t>Multa do FGTS em caso de demissões mediante aviso prévio
 Indenizado</t>
  </si>
  <si>
    <t>{0,08 x 0,4 x 10% x [1 + 1/12 + (1/3*1/12)] x 100}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</si>
</sst>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?_-;_-@_-"/>
    <numFmt numFmtId="166" formatCode="0.0000%"/>
    <numFmt numFmtId="167" formatCode="_(&quot;R$ &quot;* #,##0.00_);_(&quot;R$ &quot;* \(#,##0.00\);_(&quot;R$ &quot;* \-??_);_(@_)"/>
    <numFmt numFmtId="168" formatCode="[$R$-416]\ #,##0.00;[Red]\-[$R$-416]\ #,##0.00"/>
    <numFmt numFmtId="169" formatCode="_-&quot;R$&quot;* #,##0.00_-;\-&quot;R$&quot;* #,##0.00_-;_-&quot;R$&quot;* &quot;-&quot;??_-;_-@_-"/>
    <numFmt numFmtId="170" formatCode="&quot;R$ &quot;#,##0.00;[Red]&quot;-R$ &quot;#,##0.00"/>
    <numFmt numFmtId="171" formatCode="&quot;R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333333"/>
      <name val="Calibri"/>
      <family val="2"/>
    </font>
    <font>
      <sz val="10"/>
      <name val="Arial"/>
      <family val="2"/>
      <charset val="1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color rgb="FF333333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sz val="11"/>
      <color rgb="FFFF4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rgb="FFDDE8CB"/>
      </patternFill>
    </fill>
    <fill>
      <patternFill patternType="solid">
        <fgColor theme="0"/>
        <bgColor rgb="FFDDE8CB"/>
      </patternFill>
    </fill>
    <fill>
      <patternFill patternType="solid">
        <fgColor rgb="FFFFFF00"/>
        <bgColor rgb="FFDDE8CB"/>
      </patternFill>
    </fill>
    <fill>
      <patternFill patternType="solid">
        <fgColor theme="4" tint="0.59999389629810485"/>
        <bgColor rgb="FFDBDBDB"/>
      </patternFill>
    </fill>
    <fill>
      <patternFill patternType="solid">
        <fgColor rgb="FFB4C7E7"/>
        <bgColor rgb="FFDBDBDB"/>
      </patternFill>
    </fill>
    <fill>
      <patternFill patternType="solid">
        <fgColor theme="4" tint="0.59999389629810485"/>
        <bgColor rgb="FFFFE699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4C7E7"/>
      </patternFill>
    </fill>
    <fill>
      <patternFill patternType="solid">
        <fgColor rgb="FFFFFF00"/>
        <bgColor rgb="FF33CCCC"/>
      </patternFill>
    </fill>
    <fill>
      <patternFill patternType="solid">
        <fgColor rgb="FFF8CBAD"/>
        <bgColor rgb="FFFFE699"/>
      </patternFill>
    </fill>
    <fill>
      <patternFill patternType="solid">
        <fgColor rgb="FFF8CBAD"/>
        <bgColor rgb="FFDBDBDB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rgb="FFFFE994"/>
      </patternFill>
    </fill>
    <fill>
      <patternFill patternType="solid">
        <fgColor rgb="FFFFFF00"/>
        <bgColor rgb="FFFFE994"/>
      </patternFill>
    </fill>
    <fill>
      <patternFill patternType="solid">
        <fgColor rgb="FFFFE699"/>
        <bgColor rgb="FFFFE99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FFE994"/>
        <bgColor rgb="FFFFE699"/>
      </patternFill>
    </fill>
    <fill>
      <patternFill patternType="solid">
        <fgColor theme="7" tint="0.59999389629810485"/>
        <bgColor rgb="FFDBDBDB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DE8CB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8CB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7" fillId="0" borderId="0" applyBorder="0" applyProtection="0"/>
    <xf numFmtId="0" fontId="11" fillId="0" borderId="0"/>
    <xf numFmtId="9" fontId="12" fillId="0" borderId="0" applyBorder="0" applyAlignment="0" applyProtection="0"/>
    <xf numFmtId="44" fontId="12" fillId="0" borderId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3" fillId="7" borderId="1" xfId="1" applyFont="1" applyFill="1" applyBorder="1" applyAlignment="1">
      <alignment horizontal="center" vertical="center"/>
    </xf>
    <xf numFmtId="44" fontId="3" fillId="8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8" fillId="0" borderId="9" xfId="4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wrapText="1"/>
    </xf>
    <xf numFmtId="10" fontId="9" fillId="0" borderId="9" xfId="3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5" borderId="0" xfId="3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9" fontId="15" fillId="0" borderId="0" xfId="6" applyFont="1" applyAlignment="1">
      <alignment horizontal="center" vertical="center"/>
    </xf>
    <xf numFmtId="0" fontId="13" fillId="8" borderId="1" xfId="5" applyFont="1" applyFill="1" applyBorder="1" applyAlignment="1">
      <alignment horizontal="center" vertical="center" wrapText="1"/>
    </xf>
    <xf numFmtId="9" fontId="16" fillId="8" borderId="1" xfId="6" applyFont="1" applyFill="1" applyBorder="1" applyAlignment="1">
      <alignment horizontal="center" vertical="center" wrapText="1"/>
    </xf>
    <xf numFmtId="0" fontId="14" fillId="0" borderId="0" xfId="5" applyFont="1" applyAlignment="1">
      <alignment vertical="center" wrapText="1"/>
    </xf>
    <xf numFmtId="0" fontId="13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 wrapText="1"/>
    </xf>
    <xf numFmtId="44" fontId="15" fillId="0" borderId="1" xfId="7" applyFont="1" applyBorder="1" applyAlignment="1">
      <alignment horizontal="center" vertical="center"/>
    </xf>
    <xf numFmtId="0" fontId="15" fillId="0" borderId="1" xfId="7" applyNumberFormat="1" applyFont="1" applyBorder="1" applyAlignment="1">
      <alignment horizontal="center" vertical="center"/>
    </xf>
    <xf numFmtId="169" fontId="15" fillId="0" borderId="1" xfId="7" applyNumberFormat="1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9" fontId="15" fillId="0" borderId="1" xfId="6" applyFont="1" applyBorder="1" applyAlignment="1">
      <alignment horizontal="center" vertical="center"/>
    </xf>
    <xf numFmtId="44" fontId="14" fillId="0" borderId="1" xfId="5" applyNumberFormat="1" applyFont="1" applyBorder="1" applyAlignment="1">
      <alignment horizontal="center" vertical="center"/>
    </xf>
    <xf numFmtId="44" fontId="14" fillId="0" borderId="1" xfId="5" applyNumberFormat="1" applyFont="1" applyBorder="1" applyAlignment="1">
      <alignment vertical="center"/>
    </xf>
    <xf numFmtId="44" fontId="14" fillId="30" borderId="1" xfId="5" applyNumberFormat="1" applyFont="1" applyFill="1" applyBorder="1" applyAlignment="1">
      <alignment vertical="center"/>
    </xf>
    <xf numFmtId="0" fontId="14" fillId="5" borderId="1" xfId="5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horizontal="center" vertical="center"/>
    </xf>
    <xf numFmtId="44" fontId="14" fillId="30" borderId="1" xfId="5" applyNumberFormat="1" applyFont="1" applyFill="1" applyBorder="1" applyAlignment="1">
      <alignment horizontal="center" vertical="center"/>
    </xf>
    <xf numFmtId="44" fontId="13" fillId="30" borderId="1" xfId="5" applyNumberFormat="1" applyFont="1" applyFill="1" applyBorder="1" applyAlignment="1">
      <alignment horizontal="center" vertical="center"/>
    </xf>
    <xf numFmtId="0" fontId="13" fillId="0" borderId="0" xfId="5" applyFont="1" applyAlignment="1">
      <alignment vertical="center"/>
    </xf>
    <xf numFmtId="9" fontId="15" fillId="0" borderId="0" xfId="6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44" fontId="3" fillId="31" borderId="1" xfId="1" applyFont="1" applyFill="1" applyBorder="1" applyAlignment="1">
      <alignment horizontal="center" vertical="center"/>
    </xf>
    <xf numFmtId="165" fontId="2" fillId="31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44" fontId="3" fillId="31" borderId="1" xfId="0" applyNumberFormat="1" applyFont="1" applyFill="1" applyBorder="1" applyAlignment="1">
      <alignment horizontal="center" vertical="center"/>
    </xf>
    <xf numFmtId="167" fontId="10" fillId="9" borderId="1" xfId="3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171" fontId="2" fillId="5" borderId="1" xfId="0" applyNumberFormat="1" applyFont="1" applyFill="1" applyBorder="1" applyAlignment="1">
      <alignment horizontal="center" vertical="center"/>
    </xf>
    <xf numFmtId="171" fontId="2" fillId="0" borderId="1" xfId="1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0" fontId="17" fillId="0" borderId="0" xfId="5" applyFont="1"/>
    <xf numFmtId="168" fontId="17" fillId="5" borderId="1" xfId="5" applyNumberFormat="1" applyFont="1" applyFill="1" applyBorder="1" applyAlignment="1">
      <alignment horizontal="center" wrapText="1"/>
    </xf>
    <xf numFmtId="0" fontId="18" fillId="0" borderId="0" xfId="5" applyFont="1" applyAlignment="1">
      <alignment horizontal="center" vertical="center"/>
    </xf>
    <xf numFmtId="9" fontId="19" fillId="0" borderId="0" xfId="6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8" fillId="11" borderId="0" xfId="5" applyFont="1" applyFill="1" applyAlignment="1">
      <alignment horizontal="center" vertical="center" wrapText="1"/>
    </xf>
    <xf numFmtId="0" fontId="18" fillId="12" borderId="1" xfId="5" applyFont="1" applyFill="1" applyBorder="1" applyAlignment="1">
      <alignment horizontal="center" vertical="center" wrapText="1"/>
    </xf>
    <xf numFmtId="0" fontId="18" fillId="11" borderId="1" xfId="5" applyFont="1" applyFill="1" applyBorder="1" applyAlignment="1">
      <alignment horizontal="center" vertical="center" wrapText="1"/>
    </xf>
    <xf numFmtId="168" fontId="18" fillId="11" borderId="1" xfId="5" applyNumberFormat="1" applyFont="1" applyFill="1" applyBorder="1" applyAlignment="1">
      <alignment horizontal="center" vertical="center" wrapText="1"/>
    </xf>
    <xf numFmtId="168" fontId="18" fillId="11" borderId="0" xfId="5" applyNumberFormat="1" applyFont="1" applyFill="1" applyAlignment="1">
      <alignment horizontal="center" vertical="center" wrapText="1"/>
    </xf>
    <xf numFmtId="0" fontId="18" fillId="14" borderId="1" xfId="5" applyFont="1" applyFill="1" applyBorder="1" applyAlignment="1">
      <alignment horizontal="center" vertical="center" wrapText="1"/>
    </xf>
    <xf numFmtId="0" fontId="18" fillId="14" borderId="1" xfId="5" applyFont="1" applyFill="1" applyBorder="1" applyAlignment="1">
      <alignment horizontal="center" vertical="center"/>
    </xf>
    <xf numFmtId="168" fontId="18" fillId="14" borderId="1" xfId="5" applyNumberFormat="1" applyFont="1" applyFill="1" applyBorder="1" applyAlignment="1">
      <alignment horizontal="center" vertical="center"/>
    </xf>
    <xf numFmtId="168" fontId="18" fillId="15" borderId="1" xfId="5" applyNumberFormat="1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168" fontId="18" fillId="14" borderId="1" xfId="5" applyNumberFormat="1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17" fillId="16" borderId="1" xfId="5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168" fontId="17" fillId="0" borderId="1" xfId="5" applyNumberFormat="1" applyFont="1" applyBorder="1" applyAlignment="1">
      <alignment horizontal="center" vertical="center" wrapText="1"/>
    </xf>
    <xf numFmtId="168" fontId="17" fillId="5" borderId="1" xfId="5" applyNumberFormat="1" applyFont="1" applyFill="1" applyBorder="1" applyAlignment="1">
      <alignment horizontal="center" vertical="center"/>
    </xf>
    <xf numFmtId="168" fontId="17" fillId="17" borderId="1" xfId="5" applyNumberFormat="1" applyFont="1" applyFill="1" applyBorder="1" applyAlignment="1">
      <alignment horizontal="center" vertical="center"/>
    </xf>
    <xf numFmtId="9" fontId="21" fillId="0" borderId="1" xfId="6" applyFont="1" applyBorder="1" applyAlignment="1">
      <alignment horizontal="center" vertical="center"/>
    </xf>
    <xf numFmtId="9" fontId="19" fillId="0" borderId="1" xfId="6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 wrapText="1"/>
    </xf>
    <xf numFmtId="168" fontId="17" fillId="5" borderId="1" xfId="5" applyNumberFormat="1" applyFont="1" applyFill="1" applyBorder="1" applyAlignment="1">
      <alignment horizontal="center" vertical="center" wrapText="1"/>
    </xf>
    <xf numFmtId="9" fontId="21" fillId="5" borderId="1" xfId="6" applyFont="1" applyFill="1" applyBorder="1" applyAlignment="1">
      <alignment horizontal="center" vertical="center"/>
    </xf>
    <xf numFmtId="9" fontId="19" fillId="5" borderId="1" xfId="6" applyFont="1" applyFill="1" applyBorder="1" applyAlignment="1">
      <alignment horizontal="center" vertical="center"/>
    </xf>
    <xf numFmtId="168" fontId="17" fillId="18" borderId="1" xfId="5" applyNumberFormat="1" applyFont="1" applyFill="1" applyBorder="1" applyAlignment="1">
      <alignment horizontal="center" vertical="center"/>
    </xf>
    <xf numFmtId="0" fontId="17" fillId="19" borderId="1" xfId="5" applyFont="1" applyFill="1" applyBorder="1" applyAlignment="1">
      <alignment horizontal="center" vertical="center" wrapText="1"/>
    </xf>
    <xf numFmtId="0" fontId="18" fillId="5" borderId="1" xfId="5" applyFont="1" applyFill="1" applyBorder="1" applyAlignment="1">
      <alignment horizontal="center" vertical="center"/>
    </xf>
    <xf numFmtId="3" fontId="17" fillId="0" borderId="1" xfId="5" applyNumberFormat="1" applyFont="1" applyBorder="1" applyAlignment="1">
      <alignment horizontal="center" vertical="center" wrapText="1"/>
    </xf>
    <xf numFmtId="168" fontId="18" fillId="9" borderId="1" xfId="5" applyNumberFormat="1" applyFont="1" applyFill="1" applyBorder="1" applyAlignment="1">
      <alignment horizontal="center" vertical="center" wrapText="1"/>
    </xf>
    <xf numFmtId="168" fontId="17" fillId="5" borderId="0" xfId="5" applyNumberFormat="1" applyFont="1" applyFill="1" applyAlignment="1">
      <alignment horizontal="center" vertical="center"/>
    </xf>
    <xf numFmtId="168" fontId="17" fillId="17" borderId="0" xfId="5" applyNumberFormat="1" applyFont="1" applyFill="1" applyAlignment="1">
      <alignment horizontal="center" vertical="center"/>
    </xf>
    <xf numFmtId="9" fontId="21" fillId="0" borderId="0" xfId="6" applyFont="1" applyBorder="1" applyAlignment="1">
      <alignment horizontal="center" vertical="center"/>
    </xf>
    <xf numFmtId="0" fontId="17" fillId="0" borderId="0" xfId="5" applyFont="1" applyAlignment="1">
      <alignment horizontal="center" vertical="center" wrapText="1"/>
    </xf>
    <xf numFmtId="168" fontId="17" fillId="0" borderId="0" xfId="5" applyNumberFormat="1" applyFont="1" applyAlignment="1">
      <alignment horizontal="center" vertical="center"/>
    </xf>
    <xf numFmtId="0" fontId="18" fillId="21" borderId="1" xfId="5" applyFont="1" applyFill="1" applyBorder="1" applyAlignment="1">
      <alignment horizontal="center" vertical="center" wrapText="1"/>
    </xf>
    <xf numFmtId="0" fontId="18" fillId="21" borderId="1" xfId="5" applyFont="1" applyFill="1" applyBorder="1" applyAlignment="1">
      <alignment horizontal="center" vertical="center"/>
    </xf>
    <xf numFmtId="168" fontId="18" fillId="22" borderId="1" xfId="5" applyNumberFormat="1" applyFont="1" applyFill="1" applyBorder="1" applyAlignment="1">
      <alignment horizontal="center" vertical="center" wrapText="1"/>
    </xf>
    <xf numFmtId="168" fontId="18" fillId="21" borderId="1" xfId="5" applyNumberFormat="1" applyFont="1" applyFill="1" applyBorder="1" applyAlignment="1">
      <alignment horizontal="center" vertical="center" wrapText="1"/>
    </xf>
    <xf numFmtId="0" fontId="18" fillId="23" borderId="1" xfId="5" applyFont="1" applyFill="1" applyBorder="1" applyAlignment="1">
      <alignment horizontal="center" vertical="center" wrapText="1"/>
    </xf>
    <xf numFmtId="0" fontId="17" fillId="24" borderId="1" xfId="5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168" fontId="17" fillId="18" borderId="0" xfId="5" applyNumberFormat="1" applyFont="1" applyFill="1" applyAlignment="1">
      <alignment horizontal="center" vertical="center"/>
    </xf>
    <xf numFmtId="9" fontId="21" fillId="5" borderId="0" xfId="6" applyFont="1" applyFill="1" applyBorder="1" applyAlignment="1">
      <alignment horizontal="center" vertical="center"/>
    </xf>
    <xf numFmtId="0" fontId="18" fillId="5" borderId="0" xfId="5" applyFont="1" applyFill="1" applyAlignment="1">
      <alignment horizontal="center" vertical="center"/>
    </xf>
    <xf numFmtId="0" fontId="17" fillId="24" borderId="0" xfId="5" applyFont="1" applyFill="1" applyAlignment="1">
      <alignment horizontal="center" vertical="center" wrapText="1"/>
    </xf>
    <xf numFmtId="0" fontId="17" fillId="5" borderId="0" xfId="5" applyFont="1" applyFill="1" applyAlignment="1">
      <alignment horizontal="center" vertical="center"/>
    </xf>
    <xf numFmtId="168" fontId="17" fillId="5" borderId="0" xfId="5" applyNumberFormat="1" applyFont="1" applyFill="1" applyAlignment="1">
      <alignment horizontal="center" vertical="center" wrapText="1"/>
    </xf>
    <xf numFmtId="0" fontId="18" fillId="26" borderId="1" xfId="5" applyFont="1" applyFill="1" applyBorder="1" applyAlignment="1">
      <alignment horizontal="center" vertical="center" wrapText="1"/>
    </xf>
    <xf numFmtId="0" fontId="18" fillId="24" borderId="0" xfId="5" applyFont="1" applyFill="1" applyAlignment="1">
      <alignment vertical="center" wrapText="1"/>
    </xf>
    <xf numFmtId="0" fontId="18" fillId="27" borderId="12" xfId="5" applyFont="1" applyFill="1" applyBorder="1" applyAlignment="1">
      <alignment horizontal="center" vertical="center" wrapText="1"/>
    </xf>
    <xf numFmtId="168" fontId="18" fillId="29" borderId="1" xfId="5" applyNumberFormat="1" applyFont="1" applyFill="1" applyBorder="1" applyAlignment="1">
      <alignment horizontal="center" vertical="center" wrapText="1"/>
    </xf>
    <xf numFmtId="168" fontId="18" fillId="28" borderId="1" xfId="5" applyNumberFormat="1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17" fillId="19" borderId="5" xfId="5" applyFont="1" applyFill="1" applyBorder="1" applyAlignment="1">
      <alignment horizontal="justify" vertical="center" wrapText="1"/>
    </xf>
    <xf numFmtId="168" fontId="17" fillId="0" borderId="1" xfId="5" applyNumberFormat="1" applyFont="1" applyBorder="1" applyAlignment="1">
      <alignment horizontal="center" vertical="center"/>
    </xf>
    <xf numFmtId="44" fontId="19" fillId="0" borderId="1" xfId="7" applyFont="1" applyBorder="1" applyAlignment="1">
      <alignment horizontal="center" vertical="center"/>
    </xf>
    <xf numFmtId="0" fontId="18" fillId="32" borderId="1" xfId="5" applyFont="1" applyFill="1" applyBorder="1" applyAlignment="1">
      <alignment horizontal="center" vertical="center"/>
    </xf>
    <xf numFmtId="0" fontId="18" fillId="33" borderId="1" xfId="5" applyFont="1" applyFill="1" applyBorder="1" applyAlignment="1">
      <alignment horizontal="center" vertical="center" wrapText="1"/>
    </xf>
    <xf numFmtId="44" fontId="18" fillId="32" borderId="1" xfId="1" applyFont="1" applyFill="1" applyBorder="1" applyAlignment="1">
      <alignment horizontal="center" vertical="center" wrapText="1"/>
    </xf>
    <xf numFmtId="44" fontId="18" fillId="32" borderId="3" xfId="1" applyFont="1" applyFill="1" applyBorder="1" applyAlignment="1">
      <alignment horizontal="center" vertical="center"/>
    </xf>
    <xf numFmtId="44" fontId="18" fillId="32" borderId="1" xfId="1" applyFont="1" applyFill="1" applyBorder="1" applyAlignment="1">
      <alignment horizontal="center" vertical="center"/>
    </xf>
    <xf numFmtId="0" fontId="18" fillId="34" borderId="1" xfId="5" applyFont="1" applyFill="1" applyBorder="1" applyAlignment="1">
      <alignment horizontal="center" vertical="center"/>
    </xf>
    <xf numFmtId="170" fontId="17" fillId="35" borderId="1" xfId="5" applyNumberFormat="1" applyFont="1" applyFill="1" applyBorder="1" applyAlignment="1">
      <alignment horizontal="center" vertical="center" wrapText="1"/>
    </xf>
    <xf numFmtId="44" fontId="18" fillId="34" borderId="1" xfId="1" applyFont="1" applyFill="1" applyBorder="1" applyAlignment="1">
      <alignment horizontal="center" vertical="center" wrapText="1"/>
    </xf>
    <xf numFmtId="0" fontId="18" fillId="34" borderId="3" xfId="1" applyNumberFormat="1" applyFont="1" applyFill="1" applyBorder="1" applyAlignment="1">
      <alignment horizontal="center" vertical="center"/>
    </xf>
    <xf numFmtId="44" fontId="18" fillId="34" borderId="1" xfId="1" applyFont="1" applyFill="1" applyBorder="1" applyAlignment="1">
      <alignment horizontal="left" vertical="center"/>
    </xf>
    <xf numFmtId="44" fontId="18" fillId="32" borderId="1" xfId="1" applyFont="1" applyFill="1" applyBorder="1" applyAlignment="1">
      <alignment horizontal="left" vertical="center"/>
    </xf>
    <xf numFmtId="167" fontId="9" fillId="34" borderId="9" xfId="3" applyNumberFormat="1" applyFont="1" applyFill="1" applyBorder="1" applyAlignment="1">
      <alignment horizontal="center" vertical="center"/>
    </xf>
    <xf numFmtId="167" fontId="9" fillId="36" borderId="9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44" fontId="14" fillId="0" borderId="0" xfId="5" applyNumberFormat="1" applyFont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1" borderId="3" xfId="0" applyFont="1" applyFill="1" applyBorder="1" applyAlignment="1">
      <alignment horizontal="center" vertical="center"/>
    </xf>
    <xf numFmtId="0" fontId="3" fillId="31" borderId="5" xfId="0" applyFont="1" applyFill="1" applyBorder="1" applyAlignment="1">
      <alignment horizontal="center" vertical="center"/>
    </xf>
    <xf numFmtId="0" fontId="3" fillId="31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9" fontId="21" fillId="9" borderId="1" xfId="6" applyFont="1" applyFill="1" applyBorder="1" applyAlignment="1">
      <alignment horizontal="center" vertical="center" wrapText="1"/>
    </xf>
    <xf numFmtId="0" fontId="18" fillId="20" borderId="1" xfId="5" applyFont="1" applyFill="1" applyBorder="1" applyAlignment="1">
      <alignment horizontal="center" vertical="center" wrapText="1"/>
    </xf>
    <xf numFmtId="0" fontId="18" fillId="21" borderId="1" xfId="5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18" fillId="32" borderId="1" xfId="5" applyFont="1" applyFill="1" applyBorder="1" applyAlignment="1">
      <alignment horizontal="center" vertical="center"/>
    </xf>
    <xf numFmtId="0" fontId="18" fillId="25" borderId="1" xfId="5" applyFont="1" applyFill="1" applyBorder="1" applyAlignment="1">
      <alignment horizontal="center" vertical="center" wrapText="1"/>
    </xf>
    <xf numFmtId="9" fontId="21" fillId="9" borderId="4" xfId="6" applyFont="1" applyFill="1" applyBorder="1" applyAlignment="1">
      <alignment horizontal="center" vertical="center" wrapText="1"/>
    </xf>
    <xf numFmtId="0" fontId="18" fillId="10" borderId="1" xfId="5" applyFont="1" applyFill="1" applyBorder="1" applyAlignment="1">
      <alignment horizontal="center" vertical="center" wrapText="1"/>
    </xf>
    <xf numFmtId="0" fontId="18" fillId="13" borderId="1" xfId="5" applyFont="1" applyFill="1" applyBorder="1" applyAlignment="1">
      <alignment horizontal="center" vertical="center" wrapText="1"/>
    </xf>
    <xf numFmtId="0" fontId="18" fillId="26" borderId="1" xfId="5" applyFont="1" applyFill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</cellXfs>
  <cellStyles count="8">
    <cellStyle name="Moeda" xfId="1" builtinId="4"/>
    <cellStyle name="Moeda 2" xfId="4" xr:uid="{00000000-0005-0000-0000-000001000000}"/>
    <cellStyle name="Moeda 2 2" xfId="7" xr:uid="{00000000-0005-0000-0000-000002000000}"/>
    <cellStyle name="Normal" xfId="0" builtinId="0"/>
    <cellStyle name="Normal 2" xfId="5" xr:uid="{00000000-0005-0000-0000-000004000000}"/>
    <cellStyle name="Normal 4" xfId="3" xr:uid="{00000000-0005-0000-0000-000005000000}"/>
    <cellStyle name="Porcentagem" xfId="2" builtinId="5"/>
    <cellStyle name="Porcentagem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57"/>
  <sheetViews>
    <sheetView view="pageBreakPreview" topLeftCell="A110" zoomScaleNormal="100" zoomScaleSheetLayoutView="100" workbookViewId="0">
      <selection activeCell="D153" sqref="D153"/>
    </sheetView>
  </sheetViews>
  <sheetFormatPr defaultColWidth="9.28515625" defaultRowHeight="12.75" x14ac:dyDescent="0.25"/>
  <cols>
    <col min="1" max="1" width="9.28515625" style="10"/>
    <col min="2" max="2" width="63" style="20" customWidth="1"/>
    <col min="3" max="3" width="18.42578125" style="1" customWidth="1"/>
    <col min="4" max="4" width="31.7109375" style="1" customWidth="1"/>
    <col min="5" max="16384" width="9.28515625" style="1"/>
  </cols>
  <sheetData>
    <row r="2" spans="1:4" ht="13.5" thickBot="1" x14ac:dyDescent="0.3">
      <c r="A2" s="178" t="s">
        <v>0</v>
      </c>
      <c r="B2" s="178"/>
      <c r="C2" s="178" t="str">
        <f>'MEMÓRIA DE CÁLCULO'!C2</f>
        <v>SERVENTE DE LIMPEZA</v>
      </c>
      <c r="D2" s="178"/>
    </row>
    <row r="4" spans="1:4" x14ac:dyDescent="0.25">
      <c r="A4" s="177" t="s">
        <v>1</v>
      </c>
      <c r="B4" s="177"/>
      <c r="C4" s="177"/>
      <c r="D4" s="177"/>
    </row>
    <row r="5" spans="1:4" x14ac:dyDescent="0.25">
      <c r="A5" s="11">
        <v>1</v>
      </c>
      <c r="B5" s="173" t="s">
        <v>6</v>
      </c>
      <c r="C5" s="173"/>
      <c r="D5" s="4"/>
    </row>
    <row r="6" spans="1:4" x14ac:dyDescent="0.25">
      <c r="A6" s="11">
        <v>2</v>
      </c>
      <c r="B6" s="173" t="s">
        <v>7</v>
      </c>
      <c r="C6" s="173"/>
      <c r="D6" s="4" t="s">
        <v>329</v>
      </c>
    </row>
    <row r="7" spans="1:4" x14ac:dyDescent="0.25">
      <c r="A7" s="11">
        <v>3</v>
      </c>
      <c r="B7" s="173" t="s">
        <v>8</v>
      </c>
      <c r="C7" s="173"/>
      <c r="D7" s="4" t="s">
        <v>347</v>
      </c>
    </row>
    <row r="8" spans="1:4" x14ac:dyDescent="0.25">
      <c r="A8" s="11">
        <v>4</v>
      </c>
      <c r="B8" s="173" t="s">
        <v>9</v>
      </c>
      <c r="C8" s="173"/>
      <c r="D8" s="4">
        <v>12</v>
      </c>
    </row>
    <row r="10" spans="1:4" x14ac:dyDescent="0.25">
      <c r="A10" s="177" t="s">
        <v>10</v>
      </c>
      <c r="B10" s="177"/>
      <c r="C10" s="177"/>
      <c r="D10" s="177"/>
    </row>
    <row r="11" spans="1:4" x14ac:dyDescent="0.25">
      <c r="A11" s="11">
        <v>1</v>
      </c>
      <c r="B11" s="173" t="s">
        <v>11</v>
      </c>
      <c r="C11" s="173"/>
      <c r="D11" s="4" t="s">
        <v>348</v>
      </c>
    </row>
    <row r="12" spans="1:4" x14ac:dyDescent="0.25">
      <c r="A12" s="11">
        <v>2</v>
      </c>
      <c r="B12" s="173" t="s">
        <v>12</v>
      </c>
      <c r="C12" s="173"/>
      <c r="D12" s="4" t="s">
        <v>330</v>
      </c>
    </row>
    <row r="13" spans="1:4" x14ac:dyDescent="0.25">
      <c r="A13" s="11">
        <v>3</v>
      </c>
      <c r="B13" s="173" t="s">
        <v>13</v>
      </c>
      <c r="C13" s="173"/>
      <c r="D13" s="4">
        <v>195</v>
      </c>
    </row>
    <row r="15" spans="1:4" x14ac:dyDescent="0.25">
      <c r="A15" s="177" t="s">
        <v>14</v>
      </c>
      <c r="B15" s="177"/>
      <c r="C15" s="177"/>
      <c r="D15" s="177"/>
    </row>
    <row r="16" spans="1:4" x14ac:dyDescent="0.25">
      <c r="A16" s="11">
        <v>1</v>
      </c>
      <c r="B16" s="173" t="s">
        <v>15</v>
      </c>
      <c r="C16" s="173"/>
      <c r="D16" s="4" t="s">
        <v>348</v>
      </c>
    </row>
    <row r="17" spans="1:4" x14ac:dyDescent="0.25">
      <c r="A17" s="11">
        <v>2</v>
      </c>
      <c r="B17" s="173" t="s">
        <v>16</v>
      </c>
      <c r="C17" s="173"/>
      <c r="D17" s="4" t="s">
        <v>331</v>
      </c>
    </row>
    <row r="18" spans="1:4" x14ac:dyDescent="0.25">
      <c r="A18" s="11">
        <v>3</v>
      </c>
      <c r="B18" s="173" t="s">
        <v>17</v>
      </c>
      <c r="C18" s="173"/>
      <c r="D18" s="17">
        <f>'MEMÓRIA DE CÁLCULO'!C6</f>
        <v>1351.36</v>
      </c>
    </row>
    <row r="19" spans="1:4" x14ac:dyDescent="0.25">
      <c r="A19" s="11">
        <v>4</v>
      </c>
      <c r="B19" s="173" t="s">
        <v>18</v>
      </c>
      <c r="C19" s="173"/>
      <c r="D19" s="11" t="str">
        <f>C2</f>
        <v>SERVENTE DE LIMPEZA</v>
      </c>
    </row>
    <row r="20" spans="1:4" x14ac:dyDescent="0.25">
      <c r="A20" s="11">
        <v>5</v>
      </c>
      <c r="B20" s="173" t="s">
        <v>19</v>
      </c>
      <c r="C20" s="173"/>
      <c r="D20" s="77">
        <v>44927</v>
      </c>
    </row>
    <row r="22" spans="1:4" x14ac:dyDescent="0.25">
      <c r="A22" s="174" t="s">
        <v>20</v>
      </c>
      <c r="B22" s="174"/>
      <c r="C22" s="174"/>
      <c r="D22" s="174"/>
    </row>
    <row r="23" spans="1:4" ht="15.2" customHeight="1" x14ac:dyDescent="0.25">
      <c r="A23" s="50" t="s">
        <v>24</v>
      </c>
      <c r="B23" s="50" t="s">
        <v>45</v>
      </c>
      <c r="C23" s="50" t="s">
        <v>25</v>
      </c>
      <c r="D23" s="50" t="s">
        <v>46</v>
      </c>
    </row>
    <row r="24" spans="1:4" x14ac:dyDescent="0.25">
      <c r="A24" s="11" t="s">
        <v>2</v>
      </c>
      <c r="B24" s="18" t="s">
        <v>28</v>
      </c>
      <c r="C24" s="4"/>
      <c r="D24" s="5">
        <f>D18</f>
        <v>1351.36</v>
      </c>
    </row>
    <row r="25" spans="1:4" x14ac:dyDescent="0.25">
      <c r="A25" s="11" t="s">
        <v>3</v>
      </c>
      <c r="B25" s="18" t="s">
        <v>34</v>
      </c>
      <c r="C25" s="4"/>
      <c r="D25" s="5"/>
    </row>
    <row r="26" spans="1:4" x14ac:dyDescent="0.25">
      <c r="A26" s="11" t="s">
        <v>4</v>
      </c>
      <c r="B26" s="18" t="s">
        <v>35</v>
      </c>
      <c r="C26" s="17">
        <f>0.08*0.4*0.9*(D31+D37+D38)</f>
        <v>43.243519999999997</v>
      </c>
      <c r="D26" s="5"/>
    </row>
    <row r="27" spans="1:4" x14ac:dyDescent="0.25">
      <c r="A27" s="11" t="s">
        <v>5</v>
      </c>
      <c r="B27" s="18" t="s">
        <v>36</v>
      </c>
      <c r="C27" s="4"/>
      <c r="D27" s="5"/>
    </row>
    <row r="28" spans="1:4" x14ac:dyDescent="0.25">
      <c r="A28" s="11" t="s">
        <v>31</v>
      </c>
      <c r="B28" s="18" t="s">
        <v>37</v>
      </c>
      <c r="C28" s="4"/>
      <c r="D28" s="5"/>
    </row>
    <row r="29" spans="1:4" x14ac:dyDescent="0.25">
      <c r="A29" s="11" t="s">
        <v>32</v>
      </c>
      <c r="B29" s="18" t="s">
        <v>38</v>
      </c>
      <c r="C29" s="4"/>
      <c r="D29" s="5"/>
    </row>
    <row r="30" spans="1:4" x14ac:dyDescent="0.25">
      <c r="A30" s="11" t="s">
        <v>33</v>
      </c>
      <c r="B30" s="18" t="s">
        <v>39</v>
      </c>
      <c r="C30" s="4"/>
      <c r="D30" s="5"/>
    </row>
    <row r="31" spans="1:4" ht="15.2" customHeight="1" x14ac:dyDescent="0.25">
      <c r="A31" s="174" t="s">
        <v>40</v>
      </c>
      <c r="B31" s="174"/>
      <c r="C31" s="80" t="s">
        <v>29</v>
      </c>
      <c r="D31" s="81">
        <f>SUM(D24:D30)</f>
        <v>1351.36</v>
      </c>
    </row>
    <row r="33" spans="1:4" x14ac:dyDescent="0.25">
      <c r="A33" s="174" t="s">
        <v>41</v>
      </c>
      <c r="B33" s="174"/>
      <c r="C33" s="174"/>
      <c r="D33" s="174"/>
    </row>
    <row r="35" spans="1:4" x14ac:dyDescent="0.25">
      <c r="A35" s="175" t="s">
        <v>42</v>
      </c>
      <c r="B35" s="175"/>
      <c r="C35" s="175"/>
      <c r="D35" s="175"/>
    </row>
    <row r="36" spans="1:4" x14ac:dyDescent="0.25">
      <c r="A36" s="15" t="s">
        <v>24</v>
      </c>
      <c r="B36" s="15" t="s">
        <v>45</v>
      </c>
      <c r="C36" s="15" t="s">
        <v>25</v>
      </c>
      <c r="D36" s="15" t="s">
        <v>46</v>
      </c>
    </row>
    <row r="37" spans="1:4" x14ac:dyDescent="0.25">
      <c r="A37" s="11" t="s">
        <v>2</v>
      </c>
      <c r="B37" s="18" t="str">
        <f>'MEMÓRIA DE CÁLCULO'!B12</f>
        <v>13º Salário</v>
      </c>
      <c r="C37" s="12">
        <f>'MEMÓRIA DE CÁLCULO'!C12</f>
        <v>8.3333333333333301E-2</v>
      </c>
      <c r="D37" s="21">
        <f>C37*$D$31</f>
        <v>112.61333333333329</v>
      </c>
    </row>
    <row r="38" spans="1:4" x14ac:dyDescent="0.25">
      <c r="A38" s="11" t="s">
        <v>3</v>
      </c>
      <c r="B38" s="18" t="str">
        <f>'MEMÓRIA DE CÁLCULO'!B13</f>
        <v>Adicional de Férias</v>
      </c>
      <c r="C38" s="12">
        <f>'MEMÓRIA DE CÁLCULO'!C13</f>
        <v>2.7777777777777766E-2</v>
      </c>
      <c r="D38" s="21">
        <f>C38*$D$31</f>
        <v>37.537777777777762</v>
      </c>
    </row>
    <row r="39" spans="1:4" x14ac:dyDescent="0.25">
      <c r="A39" s="176" t="s">
        <v>71</v>
      </c>
      <c r="B39" s="176"/>
      <c r="C39" s="19">
        <f>C38+C37</f>
        <v>0.11111111111111106</v>
      </c>
      <c r="D39" s="22">
        <f>SUM(D37:D38)</f>
        <v>150.15111111111105</v>
      </c>
    </row>
    <row r="40" spans="1:4" x14ac:dyDescent="0.25">
      <c r="A40" s="176" t="s">
        <v>72</v>
      </c>
      <c r="B40" s="176"/>
      <c r="C40" s="23">
        <f>C39*C53</f>
        <v>4.4222222222222211E-2</v>
      </c>
      <c r="D40" s="21">
        <f>D39*C53</f>
        <v>59.760142222222207</v>
      </c>
    </row>
    <row r="41" spans="1:4" x14ac:dyDescent="0.25">
      <c r="A41" s="179" t="s">
        <v>73</v>
      </c>
      <c r="B41" s="181"/>
      <c r="C41" s="24">
        <f>C40+C39</f>
        <v>0.15533333333333327</v>
      </c>
      <c r="D41" s="25">
        <f>D39+D40</f>
        <v>209.91125333333326</v>
      </c>
    </row>
    <row r="43" spans="1:4" x14ac:dyDescent="0.25">
      <c r="A43" s="175" t="s">
        <v>53</v>
      </c>
      <c r="B43" s="175"/>
      <c r="C43" s="175"/>
      <c r="D43" s="175"/>
    </row>
    <row r="44" spans="1:4" x14ac:dyDescent="0.25">
      <c r="A44" s="15" t="s">
        <v>24</v>
      </c>
      <c r="B44" s="15" t="s">
        <v>45</v>
      </c>
      <c r="C44" s="15" t="s">
        <v>25</v>
      </c>
      <c r="D44" s="15" t="s">
        <v>46</v>
      </c>
    </row>
    <row r="45" spans="1:4" x14ac:dyDescent="0.25">
      <c r="A45" s="11" t="s">
        <v>2</v>
      </c>
      <c r="B45" s="18" t="str">
        <f>'MEMÓRIA DE CÁLCULO'!B19</f>
        <v>INSS</v>
      </c>
      <c r="C45" s="12">
        <f>'MEMÓRIA DE CÁLCULO'!C19</f>
        <v>0.2</v>
      </c>
      <c r="D45" s="21">
        <f>C45*$D$31</f>
        <v>270.27199999999999</v>
      </c>
    </row>
    <row r="46" spans="1:4" x14ac:dyDescent="0.25">
      <c r="A46" s="11" t="s">
        <v>3</v>
      </c>
      <c r="B46" s="18" t="str">
        <f>'MEMÓRIA DE CÁLCULO'!B20</f>
        <v>Salário Educação</v>
      </c>
      <c r="C46" s="12">
        <f>'MEMÓRIA DE CÁLCULO'!C20</f>
        <v>2.5000000000000001E-2</v>
      </c>
      <c r="D46" s="21">
        <f t="shared" ref="D46:D52" si="0">C46*$D$31</f>
        <v>33.783999999999999</v>
      </c>
    </row>
    <row r="47" spans="1:4" x14ac:dyDescent="0.25">
      <c r="A47" s="11" t="s">
        <v>4</v>
      </c>
      <c r="B47" s="18" t="str">
        <f>'MEMÓRIA DE CÁLCULO'!B21</f>
        <v>Riscos Ambientais do Trabalho - RAT x FAP</v>
      </c>
      <c r="C47" s="12">
        <f>'MEMÓRIA DE CÁLCULO'!C21</f>
        <v>0.06</v>
      </c>
      <c r="D47" s="21">
        <f t="shared" si="0"/>
        <v>81.081599999999995</v>
      </c>
    </row>
    <row r="48" spans="1:4" x14ac:dyDescent="0.25">
      <c r="A48" s="11" t="s">
        <v>5</v>
      </c>
      <c r="B48" s="18" t="str">
        <f>'MEMÓRIA DE CÁLCULO'!B22</f>
        <v>SESC ou SESI</v>
      </c>
      <c r="C48" s="12">
        <f>'MEMÓRIA DE CÁLCULO'!C22</f>
        <v>1.4999999999999999E-2</v>
      </c>
      <c r="D48" s="21">
        <f t="shared" si="0"/>
        <v>20.270399999999999</v>
      </c>
    </row>
    <row r="49" spans="1:4" x14ac:dyDescent="0.25">
      <c r="A49" s="11" t="s">
        <v>31</v>
      </c>
      <c r="B49" s="18" t="str">
        <f>'MEMÓRIA DE CÁLCULO'!B23</f>
        <v>SENAI - SENAC</v>
      </c>
      <c r="C49" s="12">
        <f>'MEMÓRIA DE CÁLCULO'!C23</f>
        <v>0.01</v>
      </c>
      <c r="D49" s="21">
        <f t="shared" si="0"/>
        <v>13.513599999999999</v>
      </c>
    </row>
    <row r="50" spans="1:4" x14ac:dyDescent="0.25">
      <c r="A50" s="11" t="s">
        <v>32</v>
      </c>
      <c r="B50" s="18" t="str">
        <f>'MEMÓRIA DE CÁLCULO'!B24</f>
        <v>SEBRAE</v>
      </c>
      <c r="C50" s="12">
        <f>'MEMÓRIA DE CÁLCULO'!C24</f>
        <v>6.0000000000000001E-3</v>
      </c>
      <c r="D50" s="21">
        <f t="shared" si="0"/>
        <v>8.1081599999999998</v>
      </c>
    </row>
    <row r="51" spans="1:4" x14ac:dyDescent="0.25">
      <c r="A51" s="11" t="s">
        <v>33</v>
      </c>
      <c r="B51" s="18" t="str">
        <f>'MEMÓRIA DE CÁLCULO'!B25</f>
        <v>INCRA</v>
      </c>
      <c r="C51" s="12">
        <f>'MEMÓRIA DE CÁLCULO'!C25</f>
        <v>2E-3</v>
      </c>
      <c r="D51" s="21">
        <f t="shared" si="0"/>
        <v>2.7027199999999998</v>
      </c>
    </row>
    <row r="52" spans="1:4" x14ac:dyDescent="0.25">
      <c r="A52" s="11" t="s">
        <v>62</v>
      </c>
      <c r="B52" s="18" t="str">
        <f>'MEMÓRIA DE CÁLCULO'!B26</f>
        <v>FGTS</v>
      </c>
      <c r="C52" s="12">
        <f>'MEMÓRIA DE CÁLCULO'!C26</f>
        <v>0.08</v>
      </c>
      <c r="D52" s="21">
        <f t="shared" si="0"/>
        <v>108.10879999999999</v>
      </c>
    </row>
    <row r="53" spans="1:4" x14ac:dyDescent="0.25">
      <c r="A53" s="175" t="s">
        <v>74</v>
      </c>
      <c r="B53" s="175"/>
      <c r="C53" s="26">
        <f>SUM(C45:C52)</f>
        <v>0.39800000000000008</v>
      </c>
      <c r="D53" s="27">
        <f>SUM(D45:D52)</f>
        <v>537.84127999999998</v>
      </c>
    </row>
    <row r="55" spans="1:4" x14ac:dyDescent="0.25">
      <c r="A55" s="175" t="s">
        <v>84</v>
      </c>
      <c r="B55" s="175"/>
      <c r="C55" s="175"/>
      <c r="D55" s="175"/>
    </row>
    <row r="56" spans="1:4" x14ac:dyDescent="0.25">
      <c r="A56" s="15" t="s">
        <v>24</v>
      </c>
      <c r="B56" s="15" t="s">
        <v>45</v>
      </c>
      <c r="C56" s="15" t="s">
        <v>25</v>
      </c>
      <c r="D56" s="15" t="s">
        <v>46</v>
      </c>
    </row>
    <row r="57" spans="1:4" x14ac:dyDescent="0.25">
      <c r="A57" s="11" t="s">
        <v>2</v>
      </c>
      <c r="B57" s="18" t="str">
        <f>'MEMÓRIA DE CÁLCULO'!B35</f>
        <v>Transporte</v>
      </c>
      <c r="C57" s="12"/>
      <c r="D57" s="21">
        <f>'MEMÓRIA DE CÁLCULO'!D35</f>
        <v>94.918400000000005</v>
      </c>
    </row>
    <row r="58" spans="1:4" x14ac:dyDescent="0.25">
      <c r="A58" s="11" t="s">
        <v>3</v>
      </c>
      <c r="B58" s="18" t="str">
        <f>'MEMÓRIA DE CÁLCULO'!B36</f>
        <v>Auxílio alimentação</v>
      </c>
      <c r="C58" s="12"/>
      <c r="D58" s="168">
        <f>'MEMÓRIA DE CÁLCULO'!D36</f>
        <v>412.05</v>
      </c>
    </row>
    <row r="59" spans="1:4" x14ac:dyDescent="0.25">
      <c r="A59" s="11" t="s">
        <v>4</v>
      </c>
      <c r="B59" s="18" t="str">
        <f>'MEMÓRIA DE CÁLCULO'!B37</f>
        <v>Assistência médica e familiar</v>
      </c>
      <c r="C59" s="12"/>
      <c r="D59" s="168">
        <f>'MEMÓRIA DE CÁLCULO'!D37</f>
        <v>84</v>
      </c>
    </row>
    <row r="60" spans="1:4" x14ac:dyDescent="0.25">
      <c r="A60" s="11" t="s">
        <v>5</v>
      </c>
      <c r="B60" s="18" t="str">
        <f>'MEMÓRIA DE CÁLCULO'!B38</f>
        <v>Auxílio Creche</v>
      </c>
      <c r="C60" s="12"/>
      <c r="D60" s="21">
        <f>'MEMÓRIA DE CÁLCULO'!D38</f>
        <v>0</v>
      </c>
    </row>
    <row r="61" spans="1:4" x14ac:dyDescent="0.25">
      <c r="A61" s="11" t="s">
        <v>31</v>
      </c>
      <c r="B61" s="18" t="str">
        <f>'MEMÓRIA DE CÁLCULO'!B39</f>
        <v>Seguro de Vida, Invalidez e Funeral</v>
      </c>
      <c r="C61" s="12"/>
      <c r="D61" s="168">
        <f>'MEMÓRIA DE CÁLCULO'!D39</f>
        <v>7.36</v>
      </c>
    </row>
    <row r="62" spans="1:4" x14ac:dyDescent="0.25">
      <c r="A62" s="11" t="s">
        <v>32</v>
      </c>
      <c r="B62" s="18" t="str">
        <f>'MEMÓRIA DE CÁLCULO'!B40</f>
        <v>Outros (especificar)</v>
      </c>
      <c r="C62" s="12"/>
      <c r="D62" s="21">
        <f>'MEMÓRIA DE CÁLCULO'!D40</f>
        <v>0</v>
      </c>
    </row>
    <row r="63" spans="1:4" x14ac:dyDescent="0.25">
      <c r="A63" s="179" t="s">
        <v>85</v>
      </c>
      <c r="B63" s="180"/>
      <c r="C63" s="181"/>
      <c r="D63" s="27">
        <f>SUM(D57:D62)</f>
        <v>598.32839999999999</v>
      </c>
    </row>
    <row r="65" spans="1:4" x14ac:dyDescent="0.25">
      <c r="A65" s="174" t="s">
        <v>92</v>
      </c>
      <c r="B65" s="174"/>
      <c r="C65" s="174"/>
      <c r="D65" s="174"/>
    </row>
    <row r="66" spans="1:4" x14ac:dyDescent="0.25">
      <c r="A66" s="50" t="s">
        <v>24</v>
      </c>
      <c r="B66" s="50" t="s">
        <v>45</v>
      </c>
      <c r="C66" s="50" t="s">
        <v>25</v>
      </c>
      <c r="D66" s="50" t="s">
        <v>46</v>
      </c>
    </row>
    <row r="67" spans="1:4" x14ac:dyDescent="0.25">
      <c r="A67" s="11" t="s">
        <v>86</v>
      </c>
      <c r="B67" s="18" t="s">
        <v>89</v>
      </c>
      <c r="C67" s="4"/>
      <c r="D67" s="21">
        <f>D41</f>
        <v>209.91125333333326</v>
      </c>
    </row>
    <row r="68" spans="1:4" x14ac:dyDescent="0.25">
      <c r="A68" s="11" t="s">
        <v>87</v>
      </c>
      <c r="B68" s="18" t="s">
        <v>90</v>
      </c>
      <c r="C68" s="4"/>
      <c r="D68" s="21">
        <f>D53</f>
        <v>537.84127999999998</v>
      </c>
    </row>
    <row r="69" spans="1:4" x14ac:dyDescent="0.25">
      <c r="A69" s="11" t="s">
        <v>88</v>
      </c>
      <c r="B69" s="18" t="s">
        <v>91</v>
      </c>
      <c r="C69" s="4"/>
      <c r="D69" s="21">
        <f>D63</f>
        <v>598.32839999999999</v>
      </c>
    </row>
    <row r="70" spans="1:4" x14ac:dyDescent="0.25">
      <c r="A70" s="174" t="s">
        <v>110</v>
      </c>
      <c r="B70" s="174"/>
      <c r="C70" s="174"/>
      <c r="D70" s="82">
        <f>SUM(D67:D69)</f>
        <v>1346.0809333333332</v>
      </c>
    </row>
    <row r="72" spans="1:4" x14ac:dyDescent="0.25">
      <c r="A72" s="174" t="s">
        <v>93</v>
      </c>
      <c r="B72" s="174"/>
      <c r="C72" s="174"/>
      <c r="D72" s="174"/>
    </row>
    <row r="74" spans="1:4" x14ac:dyDescent="0.25">
      <c r="A74" s="175" t="s">
        <v>94</v>
      </c>
      <c r="B74" s="175"/>
      <c r="C74" s="175"/>
      <c r="D74" s="175"/>
    </row>
    <row r="75" spans="1:4" x14ac:dyDescent="0.25">
      <c r="A75" s="15" t="s">
        <v>24</v>
      </c>
      <c r="B75" s="15" t="s">
        <v>45</v>
      </c>
      <c r="C75" s="15" t="s">
        <v>25</v>
      </c>
      <c r="D75" s="15" t="s">
        <v>46</v>
      </c>
    </row>
    <row r="76" spans="1:4" x14ac:dyDescent="0.25">
      <c r="A76" s="11" t="s">
        <v>2</v>
      </c>
      <c r="B76" s="18" t="str">
        <f>'MEMÓRIA DE CÁLCULO'!B46</f>
        <v>Aviso Prévio Indenizado</v>
      </c>
      <c r="C76" s="12">
        <f>'MEMÓRIA DE CÁLCULO'!C46</f>
        <v>8.3333333333333332E-3</v>
      </c>
      <c r="D76" s="21">
        <f>C76*$D$31</f>
        <v>11.261333333333333</v>
      </c>
    </row>
    <row r="77" spans="1:4" x14ac:dyDescent="0.25">
      <c r="A77" s="11" t="s">
        <v>3</v>
      </c>
      <c r="B77" s="18" t="str">
        <f>'MEMÓRIA DE CÁLCULO'!B47</f>
        <v>Incidência do FGTS sobre o Aviso Prévio Indenizado</v>
      </c>
      <c r="C77" s="12">
        <f>'MEMÓRIA DE CÁLCULO'!C47</f>
        <v>6.6666666666666664E-4</v>
      </c>
      <c r="D77" s="21">
        <f t="shared" ref="D77:D78" si="1">C77*$D$31</f>
        <v>0.90090666666666652</v>
      </c>
    </row>
    <row r="78" spans="1:4" x14ac:dyDescent="0.25">
      <c r="A78" s="11" t="s">
        <v>4</v>
      </c>
      <c r="B78" s="18" t="str">
        <f>'MEMÓRIA DE CÁLCULO'!B48</f>
        <v>Multa do FGTS em caso de demissões mediante aviso prévio
 Indenizado</v>
      </c>
      <c r="C78" s="12">
        <f>'MEMÓRIA DE CÁLCULO'!C48</f>
        <v>3.5555555555555553E-3</v>
      </c>
      <c r="D78" s="21">
        <f t="shared" si="1"/>
        <v>4.8048355555555551</v>
      </c>
    </row>
    <row r="79" spans="1:4" x14ac:dyDescent="0.25">
      <c r="A79" s="175" t="s">
        <v>103</v>
      </c>
      <c r="B79" s="175"/>
      <c r="C79" s="26">
        <f>SUM(C76:C78)</f>
        <v>1.2555555555555554E-2</v>
      </c>
      <c r="D79" s="27">
        <f>SUM(D76:D78)</f>
        <v>16.967075555555553</v>
      </c>
    </row>
    <row r="81" spans="1:4" x14ac:dyDescent="0.25">
      <c r="A81" s="175" t="s">
        <v>104</v>
      </c>
      <c r="B81" s="175"/>
      <c r="C81" s="175"/>
      <c r="D81" s="175"/>
    </row>
    <row r="82" spans="1:4" x14ac:dyDescent="0.25">
      <c r="A82" s="15" t="s">
        <v>24</v>
      </c>
      <c r="B82" s="15" t="s">
        <v>45</v>
      </c>
      <c r="C82" s="15" t="s">
        <v>25</v>
      </c>
      <c r="D82" s="15" t="s">
        <v>46</v>
      </c>
    </row>
    <row r="83" spans="1:4" x14ac:dyDescent="0.25">
      <c r="A83" s="11" t="s">
        <v>2</v>
      </c>
      <c r="B83" s="18" t="str">
        <f>'MEMÓRIA DE CÁLCULO'!B57</f>
        <v>Aviso Prévio Trabalhado</v>
      </c>
      <c r="C83" s="12">
        <f>'MEMÓRIA DE CÁLCULO'!C57</f>
        <v>1.7500000000000002E-2</v>
      </c>
      <c r="D83" s="21">
        <f>C83*$D$31</f>
        <v>23.648800000000001</v>
      </c>
    </row>
    <row r="84" spans="1:4" x14ac:dyDescent="0.25">
      <c r="A84" s="11" t="s">
        <v>3</v>
      </c>
      <c r="B84" s="18" t="str">
        <f>'MEMÓRIA DE CÁLCULO'!B58</f>
        <v>Incidência dos encargos do submódulo 2.2 sobre o Aviso Prévio Trabalhado</v>
      </c>
      <c r="C84" s="12">
        <f>'MEMÓRIA DE CÁLCULO'!C58</f>
        <v>6.9650000000000016E-3</v>
      </c>
      <c r="D84" s="21">
        <f t="shared" ref="D84:D85" si="2">C84*$D$31</f>
        <v>9.412222400000001</v>
      </c>
    </row>
    <row r="85" spans="1:4" x14ac:dyDescent="0.25">
      <c r="A85" s="11" t="s">
        <v>4</v>
      </c>
      <c r="B85" s="18" t="str">
        <f>'MEMÓRIA DE CÁLCULO'!B59</f>
        <v>Multa do FGTS em caso de demissões mediante aviso prévio
trabalhado</v>
      </c>
      <c r="C85" s="12">
        <f>'MEMÓRIA DE CÁLCULO'!C59</f>
        <v>3.2000000000000001E-2</v>
      </c>
      <c r="D85" s="21">
        <f t="shared" si="2"/>
        <v>43.243519999999997</v>
      </c>
    </row>
    <row r="86" spans="1:4" x14ac:dyDescent="0.25">
      <c r="A86" s="175" t="s">
        <v>103</v>
      </c>
      <c r="B86" s="175"/>
      <c r="C86" s="26">
        <f>SUM(C83:C85)</f>
        <v>5.6465000000000001E-2</v>
      </c>
      <c r="D86" s="27">
        <f>SUM(D83:D85)</f>
        <v>76.304542400000003</v>
      </c>
    </row>
    <row r="88" spans="1:4" x14ac:dyDescent="0.25">
      <c r="A88" s="174" t="s">
        <v>109</v>
      </c>
      <c r="B88" s="174"/>
      <c r="C88" s="174"/>
      <c r="D88" s="174"/>
    </row>
    <row r="89" spans="1:4" x14ac:dyDescent="0.25">
      <c r="A89" s="50" t="s">
        <v>24</v>
      </c>
      <c r="B89" s="50" t="s">
        <v>45</v>
      </c>
      <c r="C89" s="50" t="s">
        <v>25</v>
      </c>
      <c r="D89" s="50" t="s">
        <v>46</v>
      </c>
    </row>
    <row r="90" spans="1:4" x14ac:dyDescent="0.25">
      <c r="A90" s="11" t="s">
        <v>86</v>
      </c>
      <c r="B90" s="18" t="s">
        <v>96</v>
      </c>
      <c r="C90" s="4" t="s">
        <v>29</v>
      </c>
      <c r="D90" s="21">
        <f>D79</f>
        <v>16.967075555555553</v>
      </c>
    </row>
    <row r="91" spans="1:4" x14ac:dyDescent="0.25">
      <c r="A91" s="11" t="s">
        <v>87</v>
      </c>
      <c r="B91" s="18" t="s">
        <v>105</v>
      </c>
      <c r="C91" s="4" t="s">
        <v>29</v>
      </c>
      <c r="D91" s="21">
        <f>D86</f>
        <v>76.304542400000003</v>
      </c>
    </row>
    <row r="92" spans="1:4" x14ac:dyDescent="0.25">
      <c r="A92" s="182" t="s">
        <v>111</v>
      </c>
      <c r="B92" s="182"/>
      <c r="C92" s="182"/>
      <c r="D92" s="83">
        <f>SUM(D90:D91)</f>
        <v>93.271617955555556</v>
      </c>
    </row>
    <row r="94" spans="1:4" x14ac:dyDescent="0.25">
      <c r="A94" s="174" t="s">
        <v>112</v>
      </c>
      <c r="B94" s="174"/>
      <c r="C94" s="174"/>
      <c r="D94" s="174"/>
    </row>
    <row r="96" spans="1:4" x14ac:dyDescent="0.25">
      <c r="A96" s="175" t="s">
        <v>113</v>
      </c>
      <c r="B96" s="175"/>
      <c r="C96" s="175"/>
      <c r="D96" s="175"/>
    </row>
    <row r="97" spans="1:4" x14ac:dyDescent="0.25">
      <c r="A97" s="15" t="s">
        <v>24</v>
      </c>
      <c r="B97" s="15" t="s">
        <v>45</v>
      </c>
      <c r="C97" s="15" t="s">
        <v>25</v>
      </c>
      <c r="D97" s="15" t="s">
        <v>46</v>
      </c>
    </row>
    <row r="98" spans="1:4" x14ac:dyDescent="0.25">
      <c r="A98" s="11" t="s">
        <v>2</v>
      </c>
      <c r="B98" s="18" t="str">
        <f>'MEMÓRIA DE CÁLCULO'!B70</f>
        <v>Substituto das Férias</v>
      </c>
      <c r="C98" s="12">
        <f>'MEMÓRIA DE CÁLCULO'!C70</f>
        <v>8.3333333333333329E-2</v>
      </c>
      <c r="D98" s="21">
        <f>C98*$D$31</f>
        <v>112.61333333333332</v>
      </c>
    </row>
    <row r="99" spans="1:4" x14ac:dyDescent="0.25">
      <c r="A99" s="11" t="s">
        <v>3</v>
      </c>
      <c r="B99" s="18" t="str">
        <f>'MEMÓRIA DE CÁLCULO'!B71</f>
        <v>Incidência do Submódulo 2.2 sobre as Férias</v>
      </c>
      <c r="C99" s="12">
        <f>'MEMÓRIA DE CÁLCULO'!C71</f>
        <v>3.3166666666666671E-2</v>
      </c>
      <c r="D99" s="21">
        <f t="shared" ref="D99:D105" si="3">C99*$D$31</f>
        <v>44.820106666666668</v>
      </c>
    </row>
    <row r="100" spans="1:4" x14ac:dyDescent="0.25">
      <c r="A100" s="11" t="s">
        <v>4</v>
      </c>
      <c r="B100" s="18" t="str">
        <f>'MEMÓRIA DE CÁLCULO'!B72</f>
        <v>Ausência Justificada</v>
      </c>
      <c r="C100" s="12">
        <f>'MEMÓRIA DE CÁLCULO'!C72</f>
        <v>2.7777777777777779E-3</v>
      </c>
      <c r="D100" s="21">
        <f t="shared" si="3"/>
        <v>3.7537777777777777</v>
      </c>
    </row>
    <row r="101" spans="1:4" x14ac:dyDescent="0.25">
      <c r="A101" s="11" t="s">
        <v>5</v>
      </c>
      <c r="B101" s="18" t="str">
        <f>'MEMÓRIA DE CÁLCULO'!B73</f>
        <v>Ausências Legais</v>
      </c>
      <c r="C101" s="12">
        <f>'MEMÓRIA DE CÁLCULO'!C73</f>
        <v>1.0553196347031963E-3</v>
      </c>
      <c r="D101" s="21">
        <f t="shared" si="3"/>
        <v>1.4261167415525113</v>
      </c>
    </row>
    <row r="102" spans="1:4" x14ac:dyDescent="0.25">
      <c r="A102" s="11" t="s">
        <v>31</v>
      </c>
      <c r="B102" s="18" t="str">
        <f>'MEMÓRIA DE CÁLCULO'!B74</f>
        <v>Ausência por Doença</v>
      </c>
      <c r="C102" s="12">
        <f>'MEMÓRIA DE CÁLCULO'!C74</f>
        <v>9.5890410958904115E-3</v>
      </c>
      <c r="D102" s="21">
        <f t="shared" si="3"/>
        <v>12.958246575342466</v>
      </c>
    </row>
    <row r="103" spans="1:4" x14ac:dyDescent="0.25">
      <c r="A103" s="11" t="s">
        <v>32</v>
      </c>
      <c r="B103" s="18" t="str">
        <f>'MEMÓRIA DE CÁLCULO'!B75</f>
        <v>Licença Paternidade</v>
      </c>
      <c r="C103" s="12">
        <f>'MEMÓRIA DE CÁLCULO'!C75</f>
        <v>1.3712328767123287E-4</v>
      </c>
      <c r="D103" s="21">
        <f t="shared" si="3"/>
        <v>0.18530292602739723</v>
      </c>
    </row>
    <row r="104" spans="1:4" x14ac:dyDescent="0.25">
      <c r="A104" s="11" t="s">
        <v>33</v>
      </c>
      <c r="B104" s="18" t="str">
        <f>'MEMÓRIA DE CÁLCULO'!B76</f>
        <v>Ausência por Acidente de Trabalho</v>
      </c>
      <c r="C104" s="12">
        <f>'MEMÓRIA DE CÁLCULO'!C76</f>
        <v>2.6523287671232879E-3</v>
      </c>
      <c r="D104" s="21">
        <f t="shared" si="3"/>
        <v>3.5842510027397259</v>
      </c>
    </row>
    <row r="105" spans="1:4" x14ac:dyDescent="0.25">
      <c r="A105" s="11" t="s">
        <v>62</v>
      </c>
      <c r="B105" s="18" t="str">
        <f>'MEMÓRIA DE CÁLCULO'!B77</f>
        <v>Afastamento Maternidade</v>
      </c>
      <c r="C105" s="12">
        <f>'MEMÓRIA DE CÁLCULO'!C77</f>
        <v>5.0374429223744288E-4</v>
      </c>
      <c r="D105" s="21">
        <f t="shared" si="3"/>
        <v>0.6807398867579908</v>
      </c>
    </row>
    <row r="106" spans="1:4" ht="25.5" x14ac:dyDescent="0.25">
      <c r="A106" s="11" t="s">
        <v>114</v>
      </c>
      <c r="B106" s="34" t="str">
        <f>'MEMÓRIA DE CÁLCULO'!B78</f>
        <v>Incidência do Submódulo 2.2 sobre os itens C, D, E, F, G, H do submódulo 4.1</v>
      </c>
      <c r="C106" s="12">
        <f>'MEMÓRIA DE CÁLCULO'!C78</f>
        <v>6.6527032724505346E-3</v>
      </c>
      <c r="D106" s="168">
        <f>C106*$D$31</f>
        <v>8.9901970942587539</v>
      </c>
    </row>
    <row r="107" spans="1:4" x14ac:dyDescent="0.25">
      <c r="A107" s="175" t="s">
        <v>148</v>
      </c>
      <c r="B107" s="175"/>
      <c r="C107" s="26">
        <f>SUM(C98:C106)</f>
        <v>0.13986803812785387</v>
      </c>
      <c r="D107" s="27">
        <f>SUM(D98:D106)</f>
        <v>189.0120720044566</v>
      </c>
    </row>
    <row r="109" spans="1:4" x14ac:dyDescent="0.25">
      <c r="A109" s="175" t="s">
        <v>145</v>
      </c>
      <c r="B109" s="175"/>
      <c r="C109" s="175"/>
      <c r="D109" s="175"/>
    </row>
    <row r="110" spans="1:4" x14ac:dyDescent="0.25">
      <c r="A110" s="15" t="s">
        <v>24</v>
      </c>
      <c r="B110" s="15" t="s">
        <v>45</v>
      </c>
      <c r="C110" s="15" t="s">
        <v>25</v>
      </c>
      <c r="D110" s="15" t="s">
        <v>46</v>
      </c>
    </row>
    <row r="111" spans="1:4" x14ac:dyDescent="0.25">
      <c r="A111" s="11" t="s">
        <v>2</v>
      </c>
      <c r="B111" s="18" t="str">
        <f>'MEMÓRIA DE CÁLCULO'!B95</f>
        <v>Intervalo para repouso ou alimentação</v>
      </c>
      <c r="C111" s="12">
        <f>'MEMÓRIA DE CÁLCULO'!C83</f>
        <v>0</v>
      </c>
      <c r="D111" s="21">
        <f>C111*$D$31</f>
        <v>0</v>
      </c>
    </row>
    <row r="112" spans="1:4" x14ac:dyDescent="0.25">
      <c r="A112" s="11" t="s">
        <v>3</v>
      </c>
      <c r="B112" s="18" t="str">
        <f>'MEMÓRIA DE CÁLCULO'!B96</f>
        <v>Incidência do submódulo 2.2 sobre o intervalo para repouso ou alimentação</v>
      </c>
      <c r="C112" s="12">
        <f>'MEMÓRIA DE CÁLCULO'!C84</f>
        <v>0</v>
      </c>
      <c r="D112" s="21">
        <f t="shared" ref="D112" si="4">C112*$D$31</f>
        <v>0</v>
      </c>
    </row>
    <row r="113" spans="1:4" x14ac:dyDescent="0.25">
      <c r="A113" s="175" t="s">
        <v>148</v>
      </c>
      <c r="B113" s="175"/>
      <c r="C113" s="26">
        <f>SUM(C111:C112)</f>
        <v>0</v>
      </c>
      <c r="D113" s="27">
        <f>SUM(D111:D112)</f>
        <v>0</v>
      </c>
    </row>
    <row r="114" spans="1:4" x14ac:dyDescent="0.25">
      <c r="A114" s="1"/>
      <c r="B114" s="1"/>
    </row>
    <row r="115" spans="1:4" x14ac:dyDescent="0.25">
      <c r="A115" s="174" t="s">
        <v>155</v>
      </c>
      <c r="B115" s="174"/>
      <c r="C115" s="174"/>
      <c r="D115" s="174"/>
    </row>
    <row r="116" spans="1:4" x14ac:dyDescent="0.25">
      <c r="A116" s="50" t="s">
        <v>24</v>
      </c>
      <c r="B116" s="50" t="s">
        <v>45</v>
      </c>
      <c r="C116" s="50" t="s">
        <v>25</v>
      </c>
      <c r="D116" s="50" t="s">
        <v>46</v>
      </c>
    </row>
    <row r="117" spans="1:4" x14ac:dyDescent="0.25">
      <c r="A117" s="11" t="s">
        <v>86</v>
      </c>
      <c r="B117" s="18" t="s">
        <v>156</v>
      </c>
      <c r="C117" s="4" t="s">
        <v>29</v>
      </c>
      <c r="D117" s="21">
        <f>D107</f>
        <v>189.0120720044566</v>
      </c>
    </row>
    <row r="118" spans="1:4" x14ac:dyDescent="0.25">
      <c r="A118" s="11" t="s">
        <v>87</v>
      </c>
      <c r="B118" s="18" t="s">
        <v>157</v>
      </c>
      <c r="C118" s="4" t="s">
        <v>29</v>
      </c>
      <c r="D118" s="21">
        <f>D113</f>
        <v>0</v>
      </c>
    </row>
    <row r="119" spans="1:4" x14ac:dyDescent="0.25">
      <c r="A119" s="174" t="s">
        <v>158</v>
      </c>
      <c r="B119" s="174"/>
      <c r="C119" s="174"/>
      <c r="D119" s="82">
        <f>SUM(D117:D118)</f>
        <v>189.0120720044566</v>
      </c>
    </row>
    <row r="121" spans="1:4" x14ac:dyDescent="0.25">
      <c r="A121" s="174" t="s">
        <v>149</v>
      </c>
      <c r="B121" s="174"/>
      <c r="C121" s="174"/>
      <c r="D121" s="174"/>
    </row>
    <row r="122" spans="1:4" s="84" customFormat="1" x14ac:dyDescent="0.25">
      <c r="A122" s="50" t="s">
        <v>24</v>
      </c>
      <c r="B122" s="50" t="s">
        <v>45</v>
      </c>
      <c r="C122" s="50" t="s">
        <v>25</v>
      </c>
      <c r="D122" s="50" t="s">
        <v>46</v>
      </c>
    </row>
    <row r="123" spans="1:4" x14ac:dyDescent="0.25">
      <c r="A123" s="11" t="s">
        <v>2</v>
      </c>
      <c r="B123" s="18" t="str">
        <f>'MEMÓRIA DE CÁLCULO'!B100</f>
        <v>Uniformes</v>
      </c>
      <c r="C123" s="4" t="s">
        <v>29</v>
      </c>
      <c r="D123" s="5">
        <f>'MEMÓRIA DE CÁLCULO'!D100</f>
        <v>28.439444444444447</v>
      </c>
    </row>
    <row r="124" spans="1:4" x14ac:dyDescent="0.25">
      <c r="A124" s="11" t="s">
        <v>3</v>
      </c>
      <c r="B124" s="18" t="str">
        <f>'MEMÓRIA DE CÁLCULO'!B101</f>
        <v>Materiais</v>
      </c>
      <c r="C124" s="4" t="s">
        <v>29</v>
      </c>
      <c r="D124" s="5">
        <f>'MEMÓRIA DE CÁLCULO'!D101</f>
        <v>669.47589743589742</v>
      </c>
    </row>
    <row r="125" spans="1:4" x14ac:dyDescent="0.25">
      <c r="A125" s="11" t="s">
        <v>4</v>
      </c>
      <c r="B125" s="18" t="str">
        <f>'MEMÓRIA DE CÁLCULO'!B102</f>
        <v>Equipamentos</v>
      </c>
      <c r="C125" s="4" t="s">
        <v>29</v>
      </c>
      <c r="D125" s="5">
        <f>'MEMÓRIA DE CÁLCULO'!D102</f>
        <v>5.2063641025641028</v>
      </c>
    </row>
    <row r="126" spans="1:4" x14ac:dyDescent="0.25">
      <c r="A126" s="174" t="s">
        <v>154</v>
      </c>
      <c r="B126" s="174"/>
      <c r="C126" s="80" t="s">
        <v>29</v>
      </c>
      <c r="D126" s="81">
        <f>SUM(D123:D125)</f>
        <v>703.12170598290595</v>
      </c>
    </row>
    <row r="128" spans="1:4" ht="23.25" customHeight="1" x14ac:dyDescent="0.25">
      <c r="A128" s="183" t="s">
        <v>159</v>
      </c>
      <c r="B128" s="183"/>
      <c r="C128" s="183"/>
      <c r="D128" s="36">
        <f>D31+D70+D92+D119+D126</f>
        <v>3682.8463292762513</v>
      </c>
    </row>
    <row r="130" spans="1:4" x14ac:dyDescent="0.25">
      <c r="A130" s="174" t="s">
        <v>160</v>
      </c>
      <c r="B130" s="174"/>
      <c r="C130" s="174"/>
      <c r="D130" s="174"/>
    </row>
    <row r="131" spans="1:4" x14ac:dyDescent="0.25">
      <c r="A131" s="3" t="s">
        <v>24</v>
      </c>
      <c r="B131" s="3" t="s">
        <v>45</v>
      </c>
      <c r="C131" s="3" t="s">
        <v>25</v>
      </c>
      <c r="D131" s="3" t="s">
        <v>46</v>
      </c>
    </row>
    <row r="132" spans="1:4" x14ac:dyDescent="0.25">
      <c r="A132" s="11" t="s">
        <v>2</v>
      </c>
      <c r="B132" s="18" t="str">
        <f>'MEMÓRIA DE CÁLCULO'!B106</f>
        <v>Custos Indiretos</v>
      </c>
      <c r="C132" s="30">
        <f>'MEMÓRIA DE CÁLCULO'!C106</f>
        <v>0.03</v>
      </c>
      <c r="D132" s="5">
        <f>D128*C132</f>
        <v>110.48538987828753</v>
      </c>
    </row>
    <row r="133" spans="1:4" x14ac:dyDescent="0.25">
      <c r="A133" s="11" t="s">
        <v>3</v>
      </c>
      <c r="B133" s="18" t="str">
        <f>'MEMÓRIA DE CÁLCULO'!B107</f>
        <v>Lucro</v>
      </c>
      <c r="C133" s="30">
        <f>'MEMÓRIA DE CÁLCULO'!C107</f>
        <v>6.7900000000000002E-2</v>
      </c>
      <c r="D133" s="5">
        <f>(D132+D128)*C133</f>
        <v>257.56722373059318</v>
      </c>
    </row>
    <row r="134" spans="1:4" x14ac:dyDescent="0.25">
      <c r="A134" s="11" t="s">
        <v>4</v>
      </c>
      <c r="B134" s="11" t="s">
        <v>179</v>
      </c>
      <c r="C134" s="30"/>
      <c r="D134" s="5"/>
    </row>
    <row r="135" spans="1:4" x14ac:dyDescent="0.25">
      <c r="A135" s="11" t="s">
        <v>164</v>
      </c>
      <c r="B135" s="18" t="str">
        <f>'MEMÓRIA DE CÁLCULO'!B109</f>
        <v>Tributos Federais (PIS e COFINS)</v>
      </c>
      <c r="C135" s="30">
        <f>'MEMÓRIA DE CÁLCULO'!C109</f>
        <v>9.2499999999999999E-2</v>
      </c>
      <c r="D135" s="5">
        <f>(($D$133+$D$132+$D$128)/(1-SUM($C$135:$C$137))*C135)</f>
        <v>436.977436987609</v>
      </c>
    </row>
    <row r="136" spans="1:4" x14ac:dyDescent="0.25">
      <c r="A136" s="11" t="s">
        <v>165</v>
      </c>
      <c r="B136" s="18" t="str">
        <f>'MEMÓRIA DE CÁLCULO'!B110</f>
        <v>Tributos Estaduais</v>
      </c>
      <c r="C136" s="30">
        <f>'MEMÓRIA DE CÁLCULO'!C110</f>
        <v>0</v>
      </c>
      <c r="D136" s="5">
        <f>(($D$133+$D$132+$D$128)/(1-SUM($C$135:$C$137))*C136)</f>
        <v>0</v>
      </c>
    </row>
    <row r="137" spans="1:4" x14ac:dyDescent="0.25">
      <c r="A137" s="11" t="s">
        <v>166</v>
      </c>
      <c r="B137" s="18" t="str">
        <f>'MEMÓRIA DE CÁLCULO'!B111</f>
        <v>Tributos Municipais (ISS)</v>
      </c>
      <c r="C137" s="30">
        <f>'MEMÓRIA DE CÁLCULO'!C111</f>
        <v>0.05</v>
      </c>
      <c r="D137" s="5">
        <f>(($D$133+$D$132+$D$128)/(1-SUM($C$135:$C$137))*C137)</f>
        <v>236.20401999330215</v>
      </c>
    </row>
    <row r="138" spans="1:4" x14ac:dyDescent="0.25">
      <c r="A138" s="184" t="s">
        <v>185</v>
      </c>
      <c r="B138" s="184"/>
      <c r="C138" s="37">
        <f>SUM(C132:C137)</f>
        <v>0.2404</v>
      </c>
      <c r="D138" s="35">
        <f>SUM(D132:D137)</f>
        <v>1041.2340705897918</v>
      </c>
    </row>
    <row r="140" spans="1:4" s="85" customFormat="1" x14ac:dyDescent="0.25">
      <c r="A140" s="174" t="s">
        <v>180</v>
      </c>
      <c r="B140" s="174"/>
      <c r="C140" s="174"/>
      <c r="D140" s="174"/>
    </row>
    <row r="141" spans="1:4" x14ac:dyDescent="0.25">
      <c r="A141" s="50" t="s">
        <v>24</v>
      </c>
      <c r="B141" s="50" t="s">
        <v>45</v>
      </c>
      <c r="C141" s="50" t="s">
        <v>25</v>
      </c>
      <c r="D141" s="50" t="s">
        <v>46</v>
      </c>
    </row>
    <row r="142" spans="1:4" x14ac:dyDescent="0.25">
      <c r="A142" s="11" t="s">
        <v>2</v>
      </c>
      <c r="B142" s="18" t="s">
        <v>20</v>
      </c>
      <c r="C142" s="4" t="s">
        <v>29</v>
      </c>
      <c r="D142" s="17">
        <f>D31</f>
        <v>1351.36</v>
      </c>
    </row>
    <row r="143" spans="1:4" x14ac:dyDescent="0.25">
      <c r="A143" s="11" t="s">
        <v>3</v>
      </c>
      <c r="B143" s="18" t="s">
        <v>181</v>
      </c>
      <c r="C143" s="4" t="s">
        <v>29</v>
      </c>
      <c r="D143" s="21">
        <f>D70</f>
        <v>1346.0809333333332</v>
      </c>
    </row>
    <row r="144" spans="1:4" x14ac:dyDescent="0.25">
      <c r="A144" s="11" t="s">
        <v>4</v>
      </c>
      <c r="B144" s="18" t="s">
        <v>93</v>
      </c>
      <c r="C144" s="4" t="s">
        <v>29</v>
      </c>
      <c r="D144" s="21">
        <f>D92</f>
        <v>93.271617955555556</v>
      </c>
    </row>
    <row r="145" spans="1:4" x14ac:dyDescent="0.25">
      <c r="A145" s="11" t="s">
        <v>5</v>
      </c>
      <c r="B145" s="18" t="s">
        <v>112</v>
      </c>
      <c r="C145" s="4" t="s">
        <v>29</v>
      </c>
      <c r="D145" s="21">
        <f>D119</f>
        <v>189.0120720044566</v>
      </c>
    </row>
    <row r="146" spans="1:4" x14ac:dyDescent="0.25">
      <c r="A146" s="11" t="s">
        <v>31</v>
      </c>
      <c r="B146" s="18" t="s">
        <v>149</v>
      </c>
      <c r="C146" s="4" t="s">
        <v>29</v>
      </c>
      <c r="D146" s="17">
        <f>D126</f>
        <v>703.12170598290595</v>
      </c>
    </row>
    <row r="147" spans="1:4" x14ac:dyDescent="0.25">
      <c r="A147" s="11" t="s">
        <v>32</v>
      </c>
      <c r="B147" s="18" t="s">
        <v>182</v>
      </c>
      <c r="C147" s="4" t="s">
        <v>29</v>
      </c>
      <c r="D147" s="17">
        <f>SUM(D142:D146)</f>
        <v>3682.8463292762513</v>
      </c>
    </row>
    <row r="148" spans="1:4" x14ac:dyDescent="0.25">
      <c r="A148" s="11" t="s">
        <v>33</v>
      </c>
      <c r="B148" s="18" t="s">
        <v>183</v>
      </c>
      <c r="C148" s="4" t="s">
        <v>29</v>
      </c>
      <c r="D148" s="17">
        <f>D138</f>
        <v>1041.2340705897918</v>
      </c>
    </row>
    <row r="149" spans="1:4" s="85" customFormat="1" x14ac:dyDescent="0.25">
      <c r="A149" s="185" t="s">
        <v>184</v>
      </c>
      <c r="B149" s="186"/>
      <c r="C149" s="187"/>
      <c r="D149" s="86">
        <f>ROUND(D147+D148,2)</f>
        <v>4724.08</v>
      </c>
    </row>
    <row r="151" spans="1:4" x14ac:dyDescent="0.25">
      <c r="A151" s="177" t="s">
        <v>186</v>
      </c>
      <c r="B151" s="177"/>
      <c r="C151" s="177"/>
      <c r="D151" s="177"/>
    </row>
    <row r="152" spans="1:4" ht="25.5" x14ac:dyDescent="0.25">
      <c r="A152" s="32" t="s">
        <v>24</v>
      </c>
      <c r="B152" s="32" t="s">
        <v>45</v>
      </c>
      <c r="C152" s="78" t="s">
        <v>187</v>
      </c>
      <c r="D152" s="32" t="s">
        <v>188</v>
      </c>
    </row>
    <row r="153" spans="1:4" ht="25.5" customHeight="1" x14ac:dyDescent="0.25">
      <c r="A153" s="11" t="s">
        <v>2</v>
      </c>
      <c r="B153" s="11" t="str">
        <f>D19</f>
        <v>SERVENTE DE LIMPEZA</v>
      </c>
      <c r="C153" s="4">
        <f>D13</f>
        <v>195</v>
      </c>
      <c r="D153" s="17">
        <f>D149</f>
        <v>4724.08</v>
      </c>
    </row>
    <row r="155" spans="1:4" x14ac:dyDescent="0.25">
      <c r="A155" s="170" t="s">
        <v>189</v>
      </c>
      <c r="B155" s="171"/>
      <c r="C155" s="172"/>
      <c r="D155" s="79">
        <f>D153*C153</f>
        <v>921195.6</v>
      </c>
    </row>
    <row r="156" spans="1:4" x14ac:dyDescent="0.25">
      <c r="A156" s="170" t="s">
        <v>190</v>
      </c>
      <c r="B156" s="171"/>
      <c r="C156" s="172"/>
      <c r="D156" s="79">
        <f>D155*D8</f>
        <v>11054347.199999999</v>
      </c>
    </row>
    <row r="157" spans="1:4" x14ac:dyDescent="0.25">
      <c r="A157" s="170" t="s">
        <v>332</v>
      </c>
      <c r="B157" s="171"/>
      <c r="C157" s="172"/>
      <c r="D157" s="79">
        <f>D156*3</f>
        <v>33163041.599999998</v>
      </c>
    </row>
  </sheetData>
  <mergeCells count="55">
    <mergeCell ref="A151:D151"/>
    <mergeCell ref="A155:C155"/>
    <mergeCell ref="A156:C156"/>
    <mergeCell ref="A128:C128"/>
    <mergeCell ref="A130:D130"/>
    <mergeCell ref="A138:B138"/>
    <mergeCell ref="A140:D140"/>
    <mergeCell ref="A149:C149"/>
    <mergeCell ref="A126:B126"/>
    <mergeCell ref="A109:D109"/>
    <mergeCell ref="A113:B113"/>
    <mergeCell ref="A115:D115"/>
    <mergeCell ref="A119:C119"/>
    <mergeCell ref="A92:C92"/>
    <mergeCell ref="A94:D94"/>
    <mergeCell ref="A96:D96"/>
    <mergeCell ref="A107:B107"/>
    <mergeCell ref="A121:D121"/>
    <mergeCell ref="A79:B79"/>
    <mergeCell ref="A81:D81"/>
    <mergeCell ref="A86:B86"/>
    <mergeCell ref="A88:D88"/>
    <mergeCell ref="A70:C70"/>
    <mergeCell ref="A74:D74"/>
    <mergeCell ref="B12:C12"/>
    <mergeCell ref="B13:C13"/>
    <mergeCell ref="A55:D55"/>
    <mergeCell ref="A63:C63"/>
    <mergeCell ref="A41:B41"/>
    <mergeCell ref="A53:B53"/>
    <mergeCell ref="A43:D43"/>
    <mergeCell ref="A2:B2"/>
    <mergeCell ref="A4:D4"/>
    <mergeCell ref="A10:D10"/>
    <mergeCell ref="C2:D2"/>
    <mergeCell ref="B5:C5"/>
    <mergeCell ref="B7:C7"/>
    <mergeCell ref="B6:C6"/>
    <mergeCell ref="B8:C8"/>
    <mergeCell ref="A157:C157"/>
    <mergeCell ref="B11:C11"/>
    <mergeCell ref="A33:D33"/>
    <mergeCell ref="A35:D35"/>
    <mergeCell ref="A39:B39"/>
    <mergeCell ref="A40:B40"/>
    <mergeCell ref="B16:C16"/>
    <mergeCell ref="B17:C17"/>
    <mergeCell ref="B18:C18"/>
    <mergeCell ref="B19:C19"/>
    <mergeCell ref="B20:C20"/>
    <mergeCell ref="A22:D22"/>
    <mergeCell ref="A31:B31"/>
    <mergeCell ref="A15:D15"/>
    <mergeCell ref="A65:D65"/>
    <mergeCell ref="A72:D72"/>
  </mergeCells>
  <pageMargins left="0.25" right="0.25" top="0.75" bottom="0.75" header="0.3" footer="0.3"/>
  <pageSetup paperSize="9" scale="24" orientation="landscape" r:id="rId1"/>
  <rowBreaks count="1" manualBreakCount="1">
    <brk id="1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7"/>
  <sheetViews>
    <sheetView zoomScale="115" zoomScaleNormal="115" workbookViewId="0">
      <selection activeCell="B59" sqref="B59"/>
    </sheetView>
  </sheetViews>
  <sheetFormatPr defaultColWidth="9.28515625" defaultRowHeight="12.75" x14ac:dyDescent="0.25"/>
  <cols>
    <col min="1" max="1" width="5.42578125" style="10" customWidth="1"/>
    <col min="2" max="2" width="37.7109375" style="7" customWidth="1"/>
    <col min="3" max="3" width="16.42578125" style="6" customWidth="1"/>
    <col min="4" max="4" width="33" style="1" customWidth="1"/>
    <col min="5" max="5" width="86.42578125" style="7" customWidth="1"/>
    <col min="6" max="16384" width="9.28515625" style="1"/>
  </cols>
  <sheetData>
    <row r="1" spans="1:6" x14ac:dyDescent="0.25">
      <c r="C1" s="1"/>
    </row>
    <row r="2" spans="1:6" ht="24.75" customHeight="1" thickBot="1" x14ac:dyDescent="0.3">
      <c r="A2" s="188" t="s">
        <v>21</v>
      </c>
      <c r="B2" s="188"/>
      <c r="C2" s="189" t="s">
        <v>22</v>
      </c>
      <c r="D2" s="189"/>
      <c r="E2" s="189"/>
      <c r="F2" s="2"/>
    </row>
    <row r="3" spans="1:6" x14ac:dyDescent="0.25">
      <c r="C3" s="1"/>
    </row>
    <row r="4" spans="1:6" ht="16.5" customHeight="1" x14ac:dyDescent="0.25">
      <c r="A4" s="190" t="s">
        <v>23</v>
      </c>
      <c r="B4" s="190"/>
      <c r="C4" s="190"/>
      <c r="D4" s="190"/>
      <c r="E4" s="190"/>
    </row>
    <row r="5" spans="1:6" ht="15.2" customHeight="1" x14ac:dyDescent="0.25">
      <c r="A5" s="190" t="s">
        <v>24</v>
      </c>
      <c r="B5" s="190"/>
      <c r="C5" s="3" t="s">
        <v>30</v>
      </c>
      <c r="D5" s="3" t="s">
        <v>26</v>
      </c>
      <c r="E5" s="8" t="s">
        <v>27</v>
      </c>
    </row>
    <row r="6" spans="1:6" ht="25.5" x14ac:dyDescent="0.25">
      <c r="A6" s="11" t="s">
        <v>2</v>
      </c>
      <c r="B6" s="9" t="s">
        <v>28</v>
      </c>
      <c r="C6" s="5">
        <v>1351.36</v>
      </c>
      <c r="D6" s="4" t="s">
        <v>29</v>
      </c>
      <c r="E6" s="167" t="s">
        <v>346</v>
      </c>
    </row>
    <row r="7" spans="1:6" x14ac:dyDescent="0.25">
      <c r="C7" s="1"/>
    </row>
    <row r="8" spans="1:6" ht="16.5" customHeight="1" x14ac:dyDescent="0.25">
      <c r="A8" s="190" t="s">
        <v>41</v>
      </c>
      <c r="B8" s="190"/>
      <c r="C8" s="190"/>
      <c r="D8" s="190"/>
      <c r="E8" s="190"/>
    </row>
    <row r="9" spans="1:6" x14ac:dyDescent="0.25">
      <c r="C9" s="1"/>
    </row>
    <row r="10" spans="1:6" ht="16.5" customHeight="1" x14ac:dyDescent="0.25">
      <c r="A10" s="175" t="s">
        <v>42</v>
      </c>
      <c r="B10" s="175"/>
      <c r="C10" s="175"/>
      <c r="D10" s="175"/>
      <c r="E10" s="175"/>
    </row>
    <row r="11" spans="1:6" ht="16.5" customHeight="1" x14ac:dyDescent="0.25">
      <c r="A11" s="175" t="s">
        <v>24</v>
      </c>
      <c r="B11" s="175"/>
      <c r="C11" s="15" t="s">
        <v>25</v>
      </c>
      <c r="D11" s="15" t="s">
        <v>26</v>
      </c>
      <c r="E11" s="16" t="s">
        <v>27</v>
      </c>
    </row>
    <row r="12" spans="1:6" x14ac:dyDescent="0.25">
      <c r="A12" s="11" t="s">
        <v>2</v>
      </c>
      <c r="B12" s="9" t="s">
        <v>43</v>
      </c>
      <c r="C12" s="12">
        <v>8.3333333333333301E-2</v>
      </c>
      <c r="D12" s="4" t="s">
        <v>47</v>
      </c>
      <c r="E12" s="9" t="s">
        <v>48</v>
      </c>
    </row>
    <row r="13" spans="1:6" x14ac:dyDescent="0.25">
      <c r="A13" s="11" t="s">
        <v>3</v>
      </c>
      <c r="B13" s="9" t="s">
        <v>44</v>
      </c>
      <c r="C13" s="12">
        <f>C12/3</f>
        <v>2.7777777777777766E-2</v>
      </c>
      <c r="D13" s="4" t="s">
        <v>49</v>
      </c>
      <c r="E13" s="9" t="s">
        <v>50</v>
      </c>
    </row>
    <row r="14" spans="1:6" ht="15.2" customHeight="1" x14ac:dyDescent="0.25">
      <c r="A14" s="191" t="s">
        <v>51</v>
      </c>
      <c r="B14" s="191"/>
      <c r="C14" s="14">
        <f>SUM(C12:C13)</f>
        <v>0.11111111111111106</v>
      </c>
    </row>
    <row r="15" spans="1:6" ht="26.45" customHeight="1" x14ac:dyDescent="0.25">
      <c r="A15" s="191" t="s">
        <v>52</v>
      </c>
      <c r="B15" s="191"/>
      <c r="C15" s="28">
        <f>C14*C27</f>
        <v>4.4222222222222211E-2</v>
      </c>
    </row>
    <row r="17" spans="1:5" ht="16.5" customHeight="1" x14ac:dyDescent="0.25">
      <c r="A17" s="175" t="s">
        <v>53</v>
      </c>
      <c r="B17" s="175"/>
      <c r="C17" s="175"/>
      <c r="D17" s="175"/>
      <c r="E17" s="175"/>
    </row>
    <row r="18" spans="1:5" ht="16.5" customHeight="1" x14ac:dyDescent="0.25">
      <c r="A18" s="175" t="s">
        <v>24</v>
      </c>
      <c r="B18" s="175"/>
      <c r="C18" s="15" t="s">
        <v>25</v>
      </c>
      <c r="D18" s="15" t="s">
        <v>26</v>
      </c>
      <c r="E18" s="16" t="s">
        <v>27</v>
      </c>
    </row>
    <row r="19" spans="1:5" x14ac:dyDescent="0.25">
      <c r="A19" s="11" t="s">
        <v>2</v>
      </c>
      <c r="B19" s="9" t="s">
        <v>54</v>
      </c>
      <c r="C19" s="12">
        <v>0.2</v>
      </c>
      <c r="D19" s="4" t="s">
        <v>29</v>
      </c>
      <c r="E19" s="9" t="s">
        <v>64</v>
      </c>
    </row>
    <row r="20" spans="1:5" x14ac:dyDescent="0.25">
      <c r="A20" s="11" t="s">
        <v>3</v>
      </c>
      <c r="B20" s="9" t="s">
        <v>55</v>
      </c>
      <c r="C20" s="12">
        <v>2.5000000000000001E-2</v>
      </c>
      <c r="D20" s="4" t="s">
        <v>29</v>
      </c>
      <c r="E20" s="9" t="s">
        <v>65</v>
      </c>
    </row>
    <row r="21" spans="1:5" ht="63.75" x14ac:dyDescent="0.25">
      <c r="A21" s="11" t="s">
        <v>4</v>
      </c>
      <c r="B21" s="9" t="s">
        <v>56</v>
      </c>
      <c r="C21" s="89">
        <v>0.06</v>
      </c>
      <c r="D21" s="4" t="s">
        <v>29</v>
      </c>
      <c r="E21" s="9" t="s">
        <v>75</v>
      </c>
    </row>
    <row r="22" spans="1:5" x14ac:dyDescent="0.25">
      <c r="A22" s="11" t="s">
        <v>5</v>
      </c>
      <c r="B22" s="9" t="s">
        <v>57</v>
      </c>
      <c r="C22" s="12">
        <v>1.4999999999999999E-2</v>
      </c>
      <c r="D22" s="4" t="s">
        <v>29</v>
      </c>
      <c r="E22" s="9" t="s">
        <v>66</v>
      </c>
    </row>
    <row r="23" spans="1:5" x14ac:dyDescent="0.25">
      <c r="A23" s="11" t="s">
        <v>31</v>
      </c>
      <c r="B23" s="9" t="s">
        <v>58</v>
      </c>
      <c r="C23" s="12">
        <v>0.01</v>
      </c>
      <c r="D23" s="4" t="s">
        <v>29</v>
      </c>
      <c r="E23" s="9" t="s">
        <v>67</v>
      </c>
    </row>
    <row r="24" spans="1:5" x14ac:dyDescent="0.25">
      <c r="A24" s="11" t="s">
        <v>32</v>
      </c>
      <c r="B24" s="9" t="s">
        <v>59</v>
      </c>
      <c r="C24" s="12">
        <v>6.0000000000000001E-3</v>
      </c>
      <c r="D24" s="4" t="s">
        <v>29</v>
      </c>
      <c r="E24" s="9" t="s">
        <v>68</v>
      </c>
    </row>
    <row r="25" spans="1:5" x14ac:dyDescent="0.25">
      <c r="A25" s="11" t="s">
        <v>33</v>
      </c>
      <c r="B25" s="9" t="s">
        <v>60</v>
      </c>
      <c r="C25" s="12">
        <v>2E-3</v>
      </c>
      <c r="D25" s="4" t="s">
        <v>29</v>
      </c>
      <c r="E25" s="9" t="s">
        <v>69</v>
      </c>
    </row>
    <row r="26" spans="1:5" x14ac:dyDescent="0.25">
      <c r="A26" s="11" t="s">
        <v>62</v>
      </c>
      <c r="B26" s="9" t="s">
        <v>61</v>
      </c>
      <c r="C26" s="12">
        <v>0.08</v>
      </c>
      <c r="D26" s="4" t="s">
        <v>29</v>
      </c>
      <c r="E26" s="9" t="s">
        <v>70</v>
      </c>
    </row>
    <row r="27" spans="1:5" x14ac:dyDescent="0.25">
      <c r="A27" s="176" t="s">
        <v>63</v>
      </c>
      <c r="B27" s="176"/>
      <c r="C27" s="14">
        <f>SUM(C19:C26)</f>
        <v>0.39800000000000008</v>
      </c>
    </row>
    <row r="29" spans="1:5" ht="36.75" customHeight="1" x14ac:dyDescent="0.25">
      <c r="A29" s="191" t="s">
        <v>137</v>
      </c>
      <c r="B29" s="191"/>
      <c r="C29" s="191"/>
      <c r="D29" s="191"/>
      <c r="E29" s="191"/>
    </row>
    <row r="31" spans="1:5" ht="38.25" customHeight="1" x14ac:dyDescent="0.25">
      <c r="A31" s="192" t="s">
        <v>138</v>
      </c>
      <c r="B31" s="192"/>
      <c r="C31" s="192"/>
      <c r="D31" s="192"/>
      <c r="E31" s="192"/>
    </row>
    <row r="33" spans="1:5" x14ac:dyDescent="0.25">
      <c r="A33" s="175" t="s">
        <v>76</v>
      </c>
      <c r="B33" s="175"/>
      <c r="C33" s="175"/>
      <c r="D33" s="175"/>
      <c r="E33" s="175"/>
    </row>
    <row r="34" spans="1:5" x14ac:dyDescent="0.25">
      <c r="A34" s="175" t="s">
        <v>24</v>
      </c>
      <c r="B34" s="175"/>
      <c r="C34" s="15" t="s">
        <v>25</v>
      </c>
      <c r="D34" s="15" t="s">
        <v>26</v>
      </c>
      <c r="E34" s="16" t="s">
        <v>27</v>
      </c>
    </row>
    <row r="35" spans="1:5" ht="63.75" x14ac:dyDescent="0.25">
      <c r="A35" s="11" t="s">
        <v>2</v>
      </c>
      <c r="B35" s="9" t="s">
        <v>77</v>
      </c>
      <c r="C35" s="29" t="s">
        <v>29</v>
      </c>
      <c r="D35" s="90">
        <f>IF(((C6*0.06)&gt;=(4*2*22)),0,((4*2*22)-(C6*0.06)))</f>
        <v>94.918400000000005</v>
      </c>
      <c r="E35" s="9" t="s">
        <v>83</v>
      </c>
    </row>
    <row r="36" spans="1:5" ht="25.5" x14ac:dyDescent="0.25">
      <c r="A36" s="11" t="s">
        <v>3</v>
      </c>
      <c r="B36" s="9" t="s">
        <v>81</v>
      </c>
      <c r="C36" s="29" t="s">
        <v>29</v>
      </c>
      <c r="D36" s="91">
        <v>412.05</v>
      </c>
      <c r="E36" s="167" t="s">
        <v>346</v>
      </c>
    </row>
    <row r="37" spans="1:5" x14ac:dyDescent="0.25">
      <c r="A37" s="11" t="s">
        <v>4</v>
      </c>
      <c r="B37" s="9" t="s">
        <v>78</v>
      </c>
      <c r="C37" s="29" t="s">
        <v>29</v>
      </c>
      <c r="D37" s="90">
        <f>'MÓDULO 2.3'!C4</f>
        <v>84</v>
      </c>
      <c r="E37" s="9" t="s">
        <v>82</v>
      </c>
    </row>
    <row r="38" spans="1:5" x14ac:dyDescent="0.25">
      <c r="A38" s="11" t="s">
        <v>5</v>
      </c>
      <c r="B38" s="9" t="s">
        <v>79</v>
      </c>
      <c r="C38" s="29" t="s">
        <v>29</v>
      </c>
      <c r="D38" s="92"/>
      <c r="E38" s="9" t="s">
        <v>29</v>
      </c>
    </row>
    <row r="39" spans="1:5" x14ac:dyDescent="0.25">
      <c r="A39" s="11" t="s">
        <v>31</v>
      </c>
      <c r="B39" s="9" t="s">
        <v>80</v>
      </c>
      <c r="C39" s="29" t="s">
        <v>29</v>
      </c>
      <c r="D39" s="90">
        <f>'MÓDULO 2.3'!C5</f>
        <v>7.36</v>
      </c>
      <c r="E39" s="9" t="s">
        <v>82</v>
      </c>
    </row>
    <row r="40" spans="1:5" x14ac:dyDescent="0.25">
      <c r="A40" s="11" t="s">
        <v>32</v>
      </c>
      <c r="B40" s="9" t="s">
        <v>39</v>
      </c>
      <c r="C40" s="29" t="s">
        <v>29</v>
      </c>
      <c r="D40" s="92"/>
      <c r="E40" s="9" t="s">
        <v>29</v>
      </c>
    </row>
    <row r="42" spans="1:5" x14ac:dyDescent="0.25">
      <c r="A42" s="190" t="s">
        <v>93</v>
      </c>
      <c r="B42" s="190"/>
      <c r="C42" s="190"/>
      <c r="D42" s="190"/>
      <c r="E42" s="190"/>
    </row>
    <row r="44" spans="1:5" x14ac:dyDescent="0.25">
      <c r="A44" s="175" t="s">
        <v>94</v>
      </c>
      <c r="B44" s="175"/>
      <c r="C44" s="175"/>
      <c r="D44" s="175"/>
      <c r="E44" s="175"/>
    </row>
    <row r="45" spans="1:5" x14ac:dyDescent="0.25">
      <c r="A45" s="175" t="s">
        <v>24</v>
      </c>
      <c r="B45" s="175"/>
      <c r="C45" s="15" t="s">
        <v>25</v>
      </c>
      <c r="D45" s="15" t="s">
        <v>26</v>
      </c>
      <c r="E45" s="16" t="s">
        <v>27</v>
      </c>
    </row>
    <row r="46" spans="1:5" x14ac:dyDescent="0.25">
      <c r="A46" s="11" t="s">
        <v>2</v>
      </c>
      <c r="B46" s="9" t="s">
        <v>96</v>
      </c>
      <c r="C46" s="30">
        <f>1/12*0.1</f>
        <v>8.3333333333333332E-3</v>
      </c>
      <c r="D46" s="4" t="s">
        <v>98</v>
      </c>
      <c r="E46" s="9" t="s">
        <v>100</v>
      </c>
    </row>
    <row r="47" spans="1:5" ht="25.5" x14ac:dyDescent="0.25">
      <c r="A47" s="11" t="s">
        <v>3</v>
      </c>
      <c r="B47" s="9" t="s">
        <v>97</v>
      </c>
      <c r="C47" s="30">
        <f>C46*0.08</f>
        <v>6.6666666666666664E-4</v>
      </c>
      <c r="D47" s="4" t="s">
        <v>99</v>
      </c>
      <c r="E47" s="9" t="s">
        <v>101</v>
      </c>
    </row>
    <row r="48" spans="1:5" ht="38.25" x14ac:dyDescent="0.25">
      <c r="A48" s="11" t="s">
        <v>4</v>
      </c>
      <c r="B48" s="9" t="s">
        <v>358</v>
      </c>
      <c r="C48" s="30">
        <f>0.08*0.4*0.1*(1+(1/12)+(1/3*1/12))</f>
        <v>3.5555555555555553E-3</v>
      </c>
      <c r="D48" s="9" t="s">
        <v>359</v>
      </c>
      <c r="E48" s="9" t="s">
        <v>102</v>
      </c>
    </row>
    <row r="49" spans="1:5" x14ac:dyDescent="0.25">
      <c r="A49" s="176" t="s">
        <v>95</v>
      </c>
      <c r="B49" s="176"/>
      <c r="C49" s="31">
        <f>SUM(C46:C48)</f>
        <v>1.2555555555555554E-2</v>
      </c>
    </row>
    <row r="51" spans="1:5" ht="39.950000000000003" customHeight="1" x14ac:dyDescent="0.25">
      <c r="A51" s="191" t="s">
        <v>350</v>
      </c>
      <c r="B51" s="191"/>
      <c r="C51" s="191"/>
      <c r="D51" s="191"/>
      <c r="E51" s="191"/>
    </row>
    <row r="53" spans="1:5" ht="39.950000000000003" customHeight="1" x14ac:dyDescent="0.25">
      <c r="A53" s="191" t="s">
        <v>351</v>
      </c>
      <c r="B53" s="191"/>
      <c r="C53" s="191"/>
      <c r="D53" s="191"/>
      <c r="E53" s="191"/>
    </row>
    <row r="55" spans="1:5" x14ac:dyDescent="0.25">
      <c r="A55" s="175" t="s">
        <v>104</v>
      </c>
      <c r="B55" s="175"/>
      <c r="C55" s="175"/>
      <c r="D55" s="175"/>
      <c r="E55" s="175"/>
    </row>
    <row r="56" spans="1:5" x14ac:dyDescent="0.25">
      <c r="A56" s="175" t="s">
        <v>24</v>
      </c>
      <c r="B56" s="175"/>
      <c r="C56" s="15" t="s">
        <v>25</v>
      </c>
      <c r="D56" s="15" t="s">
        <v>26</v>
      </c>
      <c r="E56" s="16" t="s">
        <v>27</v>
      </c>
    </row>
    <row r="57" spans="1:5" x14ac:dyDescent="0.25">
      <c r="A57" s="11" t="s">
        <v>2</v>
      </c>
      <c r="B57" s="9" t="s">
        <v>105</v>
      </c>
      <c r="C57" s="30">
        <f>(0.9*(7/30)/12)</f>
        <v>1.7500000000000002E-2</v>
      </c>
      <c r="D57" s="4" t="s">
        <v>107</v>
      </c>
      <c r="E57" s="9" t="s">
        <v>100</v>
      </c>
    </row>
    <row r="58" spans="1:5" ht="25.5" x14ac:dyDescent="0.25">
      <c r="A58" s="11" t="s">
        <v>3</v>
      </c>
      <c r="B58" s="9" t="s">
        <v>106</v>
      </c>
      <c r="C58" s="30">
        <f>C57*C27</f>
        <v>6.9650000000000016E-3</v>
      </c>
      <c r="D58" s="9" t="s">
        <v>108</v>
      </c>
      <c r="E58" s="9" t="s">
        <v>101</v>
      </c>
    </row>
    <row r="59" spans="1:5" ht="38.25" x14ac:dyDescent="0.25">
      <c r="A59" s="11" t="s">
        <v>4</v>
      </c>
      <c r="B59" s="9" t="s">
        <v>357</v>
      </c>
      <c r="C59" s="30">
        <f>0.08*0.4*0.9*(1+(1/12)+(1/3*1/12))</f>
        <v>3.2000000000000001E-2</v>
      </c>
      <c r="D59" s="9" t="s">
        <v>356</v>
      </c>
      <c r="E59" s="9" t="s">
        <v>102</v>
      </c>
    </row>
    <row r="60" spans="1:5" x14ac:dyDescent="0.25">
      <c r="A60" s="176" t="s">
        <v>95</v>
      </c>
      <c r="B60" s="176"/>
      <c r="C60" s="31">
        <f>SUM(C57:C59)</f>
        <v>5.6465000000000001E-2</v>
      </c>
    </row>
    <row r="62" spans="1:5" x14ac:dyDescent="0.25">
      <c r="A62" s="191" t="s">
        <v>177</v>
      </c>
      <c r="B62" s="191"/>
      <c r="C62" s="191"/>
      <c r="D62" s="191"/>
      <c r="E62" s="191"/>
    </row>
    <row r="64" spans="1:5" ht="24.75" customHeight="1" x14ac:dyDescent="0.25">
      <c r="A64" s="191" t="s">
        <v>174</v>
      </c>
      <c r="B64" s="191"/>
      <c r="C64" s="191"/>
      <c r="D64" s="191"/>
      <c r="E64" s="191"/>
    </row>
    <row r="66" spans="1:5" x14ac:dyDescent="0.25">
      <c r="A66" s="190" t="s">
        <v>112</v>
      </c>
      <c r="B66" s="190"/>
      <c r="C66" s="190"/>
      <c r="D66" s="190"/>
      <c r="E66" s="190"/>
    </row>
    <row r="68" spans="1:5" x14ac:dyDescent="0.25">
      <c r="A68" s="175" t="s">
        <v>113</v>
      </c>
      <c r="B68" s="175"/>
      <c r="C68" s="175"/>
      <c r="D68" s="175"/>
      <c r="E68" s="175"/>
    </row>
    <row r="69" spans="1:5" x14ac:dyDescent="0.25">
      <c r="A69" s="175" t="s">
        <v>24</v>
      </c>
      <c r="B69" s="175"/>
      <c r="C69" s="15" t="s">
        <v>25</v>
      </c>
      <c r="D69" s="15" t="s">
        <v>26</v>
      </c>
      <c r="E69" s="16" t="s">
        <v>27</v>
      </c>
    </row>
    <row r="70" spans="1:5" x14ac:dyDescent="0.25">
      <c r="A70" s="11" t="s">
        <v>2</v>
      </c>
      <c r="B70" s="9" t="s">
        <v>115</v>
      </c>
      <c r="C70" s="88">
        <f>1/12</f>
        <v>8.3333333333333329E-2</v>
      </c>
      <c r="D70" s="4" t="s">
        <v>47</v>
      </c>
      <c r="E70" s="9" t="s">
        <v>130</v>
      </c>
    </row>
    <row r="71" spans="1:5" ht="25.5" x14ac:dyDescent="0.25">
      <c r="A71" s="11" t="s">
        <v>3</v>
      </c>
      <c r="B71" s="9" t="s">
        <v>116</v>
      </c>
      <c r="C71" s="88">
        <f>C70*C27</f>
        <v>3.3166666666666671E-2</v>
      </c>
      <c r="D71" s="4" t="s">
        <v>29</v>
      </c>
      <c r="E71" s="9" t="s">
        <v>29</v>
      </c>
    </row>
    <row r="72" spans="1:5" x14ac:dyDescent="0.25">
      <c r="A72" s="11" t="s">
        <v>4</v>
      </c>
      <c r="B72" s="9" t="s">
        <v>117</v>
      </c>
      <c r="C72" s="30">
        <f>(1/30)/12</f>
        <v>2.7777777777777779E-3</v>
      </c>
      <c r="D72" s="4" t="s">
        <v>124</v>
      </c>
      <c r="E72" s="9" t="s">
        <v>131</v>
      </c>
    </row>
    <row r="73" spans="1:5" ht="38.25" x14ac:dyDescent="0.25">
      <c r="A73" s="11" t="s">
        <v>5</v>
      </c>
      <c r="B73" s="9" t="s">
        <v>118</v>
      </c>
      <c r="C73" s="30">
        <f>(((0.1344*2+0.0305*2*(252/365)+0.0118*3+0.02*1+0.004*1+0.0016*6)/30)/12)</f>
        <v>1.0553196347031963E-3</v>
      </c>
      <c r="D73" s="9" t="s">
        <v>125</v>
      </c>
      <c r="E73" s="9" t="s">
        <v>132</v>
      </c>
    </row>
    <row r="74" spans="1:5" x14ac:dyDescent="0.25">
      <c r="A74" s="11" t="s">
        <v>31</v>
      </c>
      <c r="B74" s="9" t="s">
        <v>119</v>
      </c>
      <c r="C74" s="30">
        <f>((1*5*(252/365))/30)/12</f>
        <v>9.5890410958904115E-3</v>
      </c>
      <c r="D74" s="4" t="s">
        <v>126</v>
      </c>
      <c r="E74" s="9" t="s">
        <v>133</v>
      </c>
    </row>
    <row r="75" spans="1:5" ht="25.5" x14ac:dyDescent="0.25">
      <c r="A75" s="11" t="s">
        <v>32</v>
      </c>
      <c r="B75" s="9" t="s">
        <v>120</v>
      </c>
      <c r="C75" s="30">
        <f>((5/30)/12)*0.0143*(252/365)</f>
        <v>1.3712328767123287E-4</v>
      </c>
      <c r="D75" s="4" t="s">
        <v>127</v>
      </c>
      <c r="E75" s="9" t="s">
        <v>134</v>
      </c>
    </row>
    <row r="76" spans="1:5" x14ac:dyDescent="0.25">
      <c r="A76" s="11" t="s">
        <v>33</v>
      </c>
      <c r="B76" s="9" t="s">
        <v>121</v>
      </c>
      <c r="C76" s="30">
        <f>((15/30)/12*(0.0922*(252/365)))</f>
        <v>2.6523287671232879E-3</v>
      </c>
      <c r="D76" s="4" t="s">
        <v>128</v>
      </c>
      <c r="E76" s="9" t="s">
        <v>135</v>
      </c>
    </row>
    <row r="77" spans="1:5" ht="25.5" x14ac:dyDescent="0.25">
      <c r="A77" s="11" t="s">
        <v>62</v>
      </c>
      <c r="B77" s="9" t="s">
        <v>122</v>
      </c>
      <c r="C77" s="30">
        <f>((1+(1/3))*((4/12))/12*(0.0197*(252/365)))</f>
        <v>5.0374429223744288E-4</v>
      </c>
      <c r="D77" s="9" t="s">
        <v>129</v>
      </c>
      <c r="E77" s="9" t="s">
        <v>136</v>
      </c>
    </row>
    <row r="78" spans="1:5" ht="25.5" x14ac:dyDescent="0.25">
      <c r="A78" s="11" t="s">
        <v>114</v>
      </c>
      <c r="B78" s="9" t="s">
        <v>123</v>
      </c>
      <c r="C78" s="30">
        <f>SUM(C72:C77)*C27</f>
        <v>6.6527032724505346E-3</v>
      </c>
      <c r="D78" s="4" t="s">
        <v>29</v>
      </c>
      <c r="E78" s="9" t="s">
        <v>29</v>
      </c>
    </row>
    <row r="79" spans="1:5" x14ac:dyDescent="0.25">
      <c r="A79" s="193" t="s">
        <v>95</v>
      </c>
      <c r="B79" s="193"/>
      <c r="C79" s="33">
        <f>SUM(C70:C78)</f>
        <v>0.13986803812785387</v>
      </c>
    </row>
    <row r="81" spans="1:5" ht="38.25" customHeight="1" x14ac:dyDescent="0.25">
      <c r="A81" s="191" t="s">
        <v>139</v>
      </c>
      <c r="B81" s="191"/>
      <c r="C81" s="191"/>
      <c r="D81" s="191"/>
      <c r="E81" s="191"/>
    </row>
    <row r="83" spans="1:5" ht="38.25" customHeight="1" x14ac:dyDescent="0.25">
      <c r="A83" s="191" t="s">
        <v>140</v>
      </c>
      <c r="B83" s="191"/>
      <c r="C83" s="191"/>
      <c r="D83" s="191"/>
      <c r="E83" s="191"/>
    </row>
    <row r="85" spans="1:5" ht="39" customHeight="1" x14ac:dyDescent="0.25">
      <c r="A85" s="191" t="s">
        <v>141</v>
      </c>
      <c r="B85" s="191"/>
      <c r="C85" s="191"/>
      <c r="D85" s="191"/>
      <c r="E85" s="191"/>
    </row>
    <row r="87" spans="1:5" ht="60.75" customHeight="1" x14ac:dyDescent="0.25">
      <c r="A87" s="191" t="s">
        <v>142</v>
      </c>
      <c r="B87" s="191"/>
      <c r="C87" s="191"/>
      <c r="D87" s="191"/>
      <c r="E87" s="191"/>
    </row>
    <row r="89" spans="1:5" ht="43.5" customHeight="1" x14ac:dyDescent="0.25">
      <c r="A89" s="191" t="s">
        <v>143</v>
      </c>
      <c r="B89" s="191"/>
      <c r="C89" s="191"/>
      <c r="D89" s="191"/>
      <c r="E89" s="191"/>
    </row>
    <row r="91" spans="1:5" ht="64.7" customHeight="1" x14ac:dyDescent="0.25">
      <c r="A91" s="191" t="s">
        <v>144</v>
      </c>
      <c r="B91" s="191"/>
      <c r="C91" s="191"/>
      <c r="D91" s="191"/>
      <c r="E91" s="191"/>
    </row>
    <row r="93" spans="1:5" x14ac:dyDescent="0.25">
      <c r="A93" s="175" t="s">
        <v>145</v>
      </c>
      <c r="B93" s="175"/>
      <c r="C93" s="175"/>
      <c r="D93" s="175"/>
      <c r="E93" s="175"/>
    </row>
    <row r="94" spans="1:5" x14ac:dyDescent="0.25">
      <c r="A94" s="175" t="s">
        <v>24</v>
      </c>
      <c r="B94" s="175"/>
      <c r="C94" s="15" t="s">
        <v>25</v>
      </c>
      <c r="D94" s="15" t="s">
        <v>26</v>
      </c>
      <c r="E94" s="16" t="s">
        <v>27</v>
      </c>
    </row>
    <row r="95" spans="1:5" x14ac:dyDescent="0.25">
      <c r="A95" s="11" t="s">
        <v>2</v>
      </c>
      <c r="B95" s="9" t="s">
        <v>146</v>
      </c>
      <c r="C95" s="30"/>
      <c r="D95" s="4"/>
      <c r="E95" s="9"/>
    </row>
    <row r="96" spans="1:5" ht="25.5" x14ac:dyDescent="0.25">
      <c r="A96" s="11" t="s">
        <v>3</v>
      </c>
      <c r="B96" s="9" t="s">
        <v>147</v>
      </c>
      <c r="C96" s="30"/>
      <c r="D96" s="4"/>
      <c r="E96" s="9"/>
    </row>
    <row r="98" spans="1:5" x14ac:dyDescent="0.25">
      <c r="A98" s="190" t="s">
        <v>149</v>
      </c>
      <c r="B98" s="190"/>
      <c r="C98" s="190"/>
      <c r="D98" s="190"/>
      <c r="E98" s="190"/>
    </row>
    <row r="99" spans="1:5" x14ac:dyDescent="0.25">
      <c r="A99" s="190" t="s">
        <v>24</v>
      </c>
      <c r="B99" s="190"/>
      <c r="C99" s="3" t="s">
        <v>25</v>
      </c>
      <c r="D99" s="3" t="s">
        <v>30</v>
      </c>
      <c r="E99" s="8" t="s">
        <v>27</v>
      </c>
    </row>
    <row r="100" spans="1:5" x14ac:dyDescent="0.25">
      <c r="A100" s="11" t="s">
        <v>2</v>
      </c>
      <c r="B100" s="9" t="s">
        <v>150</v>
      </c>
      <c r="C100" s="29"/>
      <c r="D100" s="5">
        <f>'MÓDULO 5'!C7</f>
        <v>28.439444444444447</v>
      </c>
      <c r="E100" s="9" t="s">
        <v>153</v>
      </c>
    </row>
    <row r="101" spans="1:5" x14ac:dyDescent="0.25">
      <c r="A101" s="11" t="s">
        <v>3</v>
      </c>
      <c r="B101" s="9" t="s">
        <v>151</v>
      </c>
      <c r="C101" s="29"/>
      <c r="D101" s="5">
        <f>'MÓDULO 5'!C5</f>
        <v>669.47589743589742</v>
      </c>
      <c r="E101" s="9" t="s">
        <v>153</v>
      </c>
    </row>
    <row r="102" spans="1:5" x14ac:dyDescent="0.25">
      <c r="A102" s="11" t="s">
        <v>4</v>
      </c>
      <c r="B102" s="9" t="s">
        <v>152</v>
      </c>
      <c r="C102" s="29"/>
      <c r="D102" s="5">
        <f>'MÓDULO 5'!C6</f>
        <v>5.2063641025641028</v>
      </c>
      <c r="E102" s="9" t="s">
        <v>153</v>
      </c>
    </row>
    <row r="104" spans="1:5" x14ac:dyDescent="0.25">
      <c r="A104" s="190" t="s">
        <v>160</v>
      </c>
      <c r="B104" s="190"/>
      <c r="C104" s="190"/>
      <c r="D104" s="190"/>
      <c r="E104" s="190"/>
    </row>
    <row r="105" spans="1:5" x14ac:dyDescent="0.25">
      <c r="A105" s="190" t="s">
        <v>24</v>
      </c>
      <c r="B105" s="190"/>
      <c r="C105" s="3" t="s">
        <v>25</v>
      </c>
      <c r="D105" s="3" t="s">
        <v>30</v>
      </c>
      <c r="E105" s="8" t="s">
        <v>27</v>
      </c>
    </row>
    <row r="106" spans="1:5" ht="63.75" x14ac:dyDescent="0.25">
      <c r="A106" s="11" t="s">
        <v>2</v>
      </c>
      <c r="B106" s="9" t="s">
        <v>161</v>
      </c>
      <c r="C106" s="30">
        <v>0.03</v>
      </c>
      <c r="D106" s="4" t="s">
        <v>29</v>
      </c>
      <c r="E106" s="9" t="s">
        <v>172</v>
      </c>
    </row>
    <row r="107" spans="1:5" ht="63.75" x14ac:dyDescent="0.25">
      <c r="A107" s="11" t="s">
        <v>3</v>
      </c>
      <c r="B107" s="9" t="s">
        <v>162</v>
      </c>
      <c r="C107" s="30">
        <v>6.7900000000000002E-2</v>
      </c>
      <c r="D107" s="4" t="s">
        <v>29</v>
      </c>
      <c r="E107" s="9" t="s">
        <v>173</v>
      </c>
    </row>
    <row r="108" spans="1:5" x14ac:dyDescent="0.25">
      <c r="A108" s="11" t="s">
        <v>4</v>
      </c>
      <c r="B108" s="13" t="s">
        <v>163</v>
      </c>
      <c r="C108" s="30"/>
      <c r="D108" s="4"/>
      <c r="E108" s="9"/>
    </row>
    <row r="109" spans="1:5" x14ac:dyDescent="0.25">
      <c r="A109" s="11" t="s">
        <v>164</v>
      </c>
      <c r="B109" s="9" t="s">
        <v>167</v>
      </c>
      <c r="C109" s="30">
        <v>9.2499999999999999E-2</v>
      </c>
      <c r="D109" s="4"/>
      <c r="E109" s="9" t="s">
        <v>170</v>
      </c>
    </row>
    <row r="110" spans="1:5" x14ac:dyDescent="0.25">
      <c r="A110" s="11" t="s">
        <v>165</v>
      </c>
      <c r="B110" s="9" t="s">
        <v>168</v>
      </c>
      <c r="C110" s="30"/>
      <c r="D110" s="4"/>
      <c r="E110" s="9"/>
    </row>
    <row r="111" spans="1:5" x14ac:dyDescent="0.25">
      <c r="A111" s="11" t="s">
        <v>166</v>
      </c>
      <c r="B111" s="9" t="s">
        <v>169</v>
      </c>
      <c r="C111" s="30">
        <v>0.05</v>
      </c>
      <c r="D111" s="4"/>
      <c r="E111" s="9" t="s">
        <v>171</v>
      </c>
    </row>
    <row r="113" spans="1:5" x14ac:dyDescent="0.25">
      <c r="A113" s="191" t="s">
        <v>175</v>
      </c>
      <c r="B113" s="191"/>
      <c r="C113" s="191"/>
      <c r="D113" s="191"/>
      <c r="E113" s="191"/>
    </row>
    <row r="115" spans="1:5" x14ac:dyDescent="0.25">
      <c r="A115" s="191" t="s">
        <v>176</v>
      </c>
      <c r="B115" s="191"/>
      <c r="C115" s="191"/>
      <c r="D115" s="191"/>
      <c r="E115" s="191"/>
    </row>
    <row r="117" spans="1:5" x14ac:dyDescent="0.25">
      <c r="A117" s="191" t="s">
        <v>178</v>
      </c>
      <c r="B117" s="191"/>
      <c r="C117" s="191"/>
      <c r="D117" s="191"/>
      <c r="E117" s="191"/>
    </row>
  </sheetData>
  <mergeCells count="46">
    <mergeCell ref="A91:E91"/>
    <mergeCell ref="A117:E117"/>
    <mergeCell ref="A105:B105"/>
    <mergeCell ref="A113:E113"/>
    <mergeCell ref="A115:E115"/>
    <mergeCell ref="A93:E93"/>
    <mergeCell ref="A94:B94"/>
    <mergeCell ref="A98:E98"/>
    <mergeCell ref="A99:B99"/>
    <mergeCell ref="A104:E104"/>
    <mergeCell ref="A81:E81"/>
    <mergeCell ref="A83:E83"/>
    <mergeCell ref="A85:E85"/>
    <mergeCell ref="A87:E87"/>
    <mergeCell ref="A89:E89"/>
    <mergeCell ref="A64:E64"/>
    <mergeCell ref="A66:E66"/>
    <mergeCell ref="A68:E68"/>
    <mergeCell ref="A69:B69"/>
    <mergeCell ref="A79:B79"/>
    <mergeCell ref="A53:E53"/>
    <mergeCell ref="A55:E55"/>
    <mergeCell ref="A56:B56"/>
    <mergeCell ref="A60:B60"/>
    <mergeCell ref="A62:E62"/>
    <mergeCell ref="A15:B15"/>
    <mergeCell ref="A44:E44"/>
    <mergeCell ref="A45:B45"/>
    <mergeCell ref="A49:B49"/>
    <mergeCell ref="A51:E51"/>
    <mergeCell ref="A2:B2"/>
    <mergeCell ref="C2:E2"/>
    <mergeCell ref="A4:E4"/>
    <mergeCell ref="A42:E42"/>
    <mergeCell ref="A5:B5"/>
    <mergeCell ref="A8:E8"/>
    <mergeCell ref="A11:B11"/>
    <mergeCell ref="A10:E10"/>
    <mergeCell ref="A14:B14"/>
    <mergeCell ref="A34:B34"/>
    <mergeCell ref="A17:E17"/>
    <mergeCell ref="A18:B18"/>
    <mergeCell ref="A27:B27"/>
    <mergeCell ref="A29:E29"/>
    <mergeCell ref="A31:E31"/>
    <mergeCell ref="A33:E3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1"/>
  <sheetViews>
    <sheetView workbookViewId="0">
      <selection activeCell="C6" sqref="C6"/>
    </sheetView>
  </sheetViews>
  <sheetFormatPr defaultColWidth="9.28515625" defaultRowHeight="12.75" x14ac:dyDescent="0.25"/>
  <cols>
    <col min="1" max="1" width="12.28515625" style="39" customWidth="1"/>
    <col min="2" max="2" width="43.28515625" style="39" customWidth="1"/>
    <col min="3" max="3" width="28.28515625" style="39" customWidth="1"/>
    <col min="4" max="4" width="21" style="39" customWidth="1"/>
    <col min="5" max="5" width="13.7109375" style="39" customWidth="1"/>
    <col min="6" max="7" width="12.28515625" style="39" customWidth="1"/>
    <col min="8" max="9" width="15.28515625" style="39" customWidth="1"/>
    <col min="10" max="1024" width="12.28515625" style="39" customWidth="1"/>
    <col min="1025" max="16384" width="9.28515625" style="39"/>
  </cols>
  <sheetData>
    <row r="2" spans="1:10" ht="29.25" customHeight="1" x14ac:dyDescent="0.25">
      <c r="A2" s="182" t="s">
        <v>76</v>
      </c>
      <c r="B2" s="182"/>
      <c r="C2" s="182"/>
      <c r="D2" s="47"/>
      <c r="E2" s="47"/>
      <c r="F2" s="48"/>
    </row>
    <row r="3" spans="1:10" ht="29.25" customHeight="1" x14ac:dyDescent="0.25">
      <c r="A3" s="53" t="s">
        <v>24</v>
      </c>
      <c r="B3" s="53" t="s">
        <v>45</v>
      </c>
      <c r="C3" s="53" t="s">
        <v>199</v>
      </c>
      <c r="D3" s="49"/>
      <c r="E3" s="49"/>
      <c r="F3" s="49"/>
      <c r="J3" s="42"/>
    </row>
    <row r="4" spans="1:10" ht="29.25" customHeight="1" x14ac:dyDescent="0.25">
      <c r="A4" s="51" t="s">
        <v>4</v>
      </c>
      <c r="B4" s="52" t="str">
        <f>'MEMÓRIA DE CÁLCULO'!B37</f>
        <v>Assistência médica e familiar</v>
      </c>
      <c r="C4" s="87">
        <f>G10</f>
        <v>84</v>
      </c>
      <c r="D4" s="194" t="s">
        <v>333</v>
      </c>
      <c r="E4" s="195"/>
      <c r="F4" s="195"/>
      <c r="G4" s="195"/>
      <c r="H4" s="195"/>
    </row>
    <row r="5" spans="1:10" ht="29.25" customHeight="1" x14ac:dyDescent="0.25">
      <c r="A5" s="51" t="s">
        <v>31</v>
      </c>
      <c r="B5" s="52" t="str">
        <f>'MEMÓRIA DE CÁLCULO'!B39</f>
        <v>Seguro de Vida, Invalidez e Funeral</v>
      </c>
      <c r="C5" s="87">
        <f>G11</f>
        <v>7.36</v>
      </c>
      <c r="D5" s="194" t="s">
        <v>333</v>
      </c>
      <c r="E5" s="195"/>
      <c r="F5" s="195"/>
      <c r="G5" s="195"/>
      <c r="H5" s="195"/>
    </row>
    <row r="6" spans="1:10" x14ac:dyDescent="0.25">
      <c r="A6" s="43"/>
      <c r="D6" s="43"/>
    </row>
    <row r="7" spans="1:10" x14ac:dyDescent="0.25">
      <c r="A7" s="43"/>
      <c r="B7" s="43"/>
      <c r="C7" s="43"/>
      <c r="D7" s="43"/>
    </row>
    <row r="8" spans="1:10" ht="25.5" customHeight="1" x14ac:dyDescent="0.25">
      <c r="A8" s="196" t="s">
        <v>200</v>
      </c>
      <c r="B8" s="197"/>
      <c r="C8" s="197"/>
      <c r="D8" s="197"/>
      <c r="E8" s="197"/>
      <c r="F8" s="197"/>
      <c r="G8" s="197"/>
      <c r="H8" s="197"/>
      <c r="I8" s="198"/>
    </row>
    <row r="9" spans="1:10" ht="25.5" x14ac:dyDescent="0.25">
      <c r="A9" s="40" t="s">
        <v>24</v>
      </c>
      <c r="B9" s="41" t="s">
        <v>45</v>
      </c>
      <c r="C9" s="40" t="s">
        <v>191</v>
      </c>
      <c r="D9" s="40" t="s">
        <v>192</v>
      </c>
      <c r="E9" s="40" t="s">
        <v>345</v>
      </c>
      <c r="F9" s="40" t="s">
        <v>193</v>
      </c>
      <c r="G9" s="40" t="s">
        <v>194</v>
      </c>
      <c r="H9" s="41" t="s">
        <v>195</v>
      </c>
      <c r="I9" s="41" t="s">
        <v>196</v>
      </c>
    </row>
    <row r="10" spans="1:10" ht="26.45" customHeight="1" x14ac:dyDescent="0.25">
      <c r="A10" s="44" t="s">
        <v>4</v>
      </c>
      <c r="B10" s="45" t="s">
        <v>197</v>
      </c>
      <c r="C10" s="38">
        <v>84</v>
      </c>
      <c r="D10" s="38">
        <v>128.41999999999999</v>
      </c>
      <c r="E10" s="38">
        <v>50</v>
      </c>
      <c r="F10" s="165">
        <f>ROUND(AVERAGE(C10:E10),2)</f>
        <v>87.47</v>
      </c>
      <c r="G10" s="166">
        <f>MEDIAN(C10:E10)</f>
        <v>84</v>
      </c>
      <c r="H10" s="44">
        <f>_xlfn.STDEV.P(C10:E10)</f>
        <v>32.108899424026085</v>
      </c>
      <c r="I10" s="46">
        <f>H10/F10</f>
        <v>0.36708470817452937</v>
      </c>
    </row>
    <row r="11" spans="1:10" ht="26.45" customHeight="1" x14ac:dyDescent="0.25">
      <c r="A11" s="44" t="s">
        <v>31</v>
      </c>
      <c r="B11" s="45" t="s">
        <v>198</v>
      </c>
      <c r="C11" s="38">
        <v>7.36</v>
      </c>
      <c r="D11" s="38">
        <v>12.35</v>
      </c>
      <c r="E11" s="38">
        <v>6</v>
      </c>
      <c r="F11" s="165">
        <f>ROUND(AVERAGE(C11:E11),2)</f>
        <v>8.57</v>
      </c>
      <c r="G11" s="166">
        <f>MEDIAN(C11:E11)</f>
        <v>7.36</v>
      </c>
      <c r="H11" s="44">
        <f>_xlfn.STDEV.P(C11:E11)</f>
        <v>2.7299206337669712</v>
      </c>
      <c r="I11" s="46">
        <f>H11/F11</f>
        <v>0.31854383124468744</v>
      </c>
    </row>
  </sheetData>
  <mergeCells count="4">
    <mergeCell ref="A2:C2"/>
    <mergeCell ref="D4:H4"/>
    <mergeCell ref="D5:H5"/>
    <mergeCell ref="A8:I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99"/>
  <sheetViews>
    <sheetView tabSelected="1" zoomScale="85" zoomScaleNormal="85" workbookViewId="0">
      <selection activeCell="E99" sqref="E99"/>
    </sheetView>
  </sheetViews>
  <sheetFormatPr defaultColWidth="9.28515625" defaultRowHeight="14.25" x14ac:dyDescent="0.2"/>
  <cols>
    <col min="1" max="1" width="6.42578125" style="97" customWidth="1"/>
    <col min="2" max="2" width="75.7109375" style="129" customWidth="1"/>
    <col min="3" max="6" width="22.42578125" style="97" customWidth="1"/>
    <col min="7" max="9" width="15.7109375" style="130" customWidth="1"/>
    <col min="10" max="11" width="15.42578125" style="130" bestFit="1" customWidth="1"/>
    <col min="12" max="12" width="11.42578125" style="130" customWidth="1"/>
    <col min="13" max="13" width="16.42578125" style="95" customWidth="1"/>
    <col min="14" max="14" width="15.7109375" style="96" customWidth="1"/>
    <col min="15" max="15" width="16.28515625" style="96" customWidth="1"/>
    <col min="16" max="16" width="17.28515625" style="96" customWidth="1"/>
    <col min="17" max="1025" width="9.28515625" style="97"/>
    <col min="1026" max="16384" width="9.28515625" style="93"/>
  </cols>
  <sheetData>
    <row r="1" spans="1:16" ht="25.5" customHeight="1" x14ac:dyDescent="0.2">
      <c r="A1" s="206" t="s">
        <v>328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6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6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6" ht="28.5" x14ac:dyDescent="0.2">
      <c r="A4" s="98"/>
      <c r="B4" s="99" t="s">
        <v>201</v>
      </c>
      <c r="C4" s="99" t="s">
        <v>337</v>
      </c>
      <c r="D4" s="98"/>
      <c r="E4" s="98"/>
      <c r="F4" s="98"/>
      <c r="G4" s="98"/>
      <c r="H4" s="98"/>
      <c r="I4" s="98"/>
      <c r="J4" s="98"/>
      <c r="K4" s="98"/>
      <c r="L4" s="98"/>
    </row>
    <row r="5" spans="1:16" x14ac:dyDescent="0.2">
      <c r="A5" s="98"/>
      <c r="B5" s="100" t="s">
        <v>151</v>
      </c>
      <c r="C5" s="101">
        <f>E61/'POSTO DE TRABALHO'!D13</f>
        <v>669.47589743589742</v>
      </c>
      <c r="D5" s="102"/>
      <c r="E5" s="202" t="s">
        <v>333</v>
      </c>
      <c r="F5" s="202"/>
      <c r="G5" s="202"/>
      <c r="H5" s="202"/>
      <c r="I5" s="202"/>
      <c r="J5" s="98"/>
      <c r="K5" s="98"/>
      <c r="L5" s="98"/>
    </row>
    <row r="6" spans="1:16" x14ac:dyDescent="0.2">
      <c r="A6" s="98"/>
      <c r="B6" s="100" t="s">
        <v>152</v>
      </c>
      <c r="C6" s="101">
        <f>E84/'POSTO DE TRABALHO'!D13</f>
        <v>5.2063641025641028</v>
      </c>
      <c r="D6" s="102"/>
      <c r="E6" s="202" t="s">
        <v>333</v>
      </c>
      <c r="F6" s="202"/>
      <c r="G6" s="202"/>
      <c r="H6" s="202"/>
      <c r="I6" s="202"/>
      <c r="J6" s="98"/>
      <c r="K6" s="98"/>
      <c r="L6" s="98"/>
    </row>
    <row r="7" spans="1:16" x14ac:dyDescent="0.2">
      <c r="A7" s="98"/>
      <c r="B7" s="100" t="s">
        <v>150</v>
      </c>
      <c r="C7" s="101">
        <f>E99</f>
        <v>28.439444444444447</v>
      </c>
      <c r="D7" s="102"/>
      <c r="E7" s="202" t="s">
        <v>333</v>
      </c>
      <c r="F7" s="202"/>
      <c r="G7" s="202"/>
      <c r="H7" s="202"/>
      <c r="I7" s="202"/>
      <c r="J7" s="98"/>
      <c r="K7" s="98"/>
      <c r="L7" s="98"/>
    </row>
    <row r="8" spans="1:16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6" ht="33.75" customHeight="1" x14ac:dyDescent="0.2">
      <c r="A9" s="207" t="s">
        <v>203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199" t="s">
        <v>204</v>
      </c>
      <c r="O9" s="199"/>
      <c r="P9" s="199"/>
    </row>
    <row r="10" spans="1:16" ht="28.5" x14ac:dyDescent="0.2">
      <c r="A10" s="103" t="s">
        <v>24</v>
      </c>
      <c r="B10" s="103" t="s">
        <v>45</v>
      </c>
      <c r="C10" s="104" t="s">
        <v>206</v>
      </c>
      <c r="D10" s="104" t="s">
        <v>207</v>
      </c>
      <c r="E10" s="103" t="s">
        <v>208</v>
      </c>
      <c r="F10" s="103" t="s">
        <v>209</v>
      </c>
      <c r="G10" s="105" t="s">
        <v>210</v>
      </c>
      <c r="H10" s="105" t="s">
        <v>211</v>
      </c>
      <c r="I10" s="105" t="s">
        <v>212</v>
      </c>
      <c r="J10" s="106" t="s">
        <v>213</v>
      </c>
      <c r="K10" s="106" t="s">
        <v>214</v>
      </c>
      <c r="L10" s="106" t="s">
        <v>215</v>
      </c>
      <c r="M10" s="107" t="s">
        <v>216</v>
      </c>
      <c r="N10" s="108" t="s">
        <v>210</v>
      </c>
      <c r="O10" s="108" t="s">
        <v>211</v>
      </c>
      <c r="P10" s="108" t="s">
        <v>212</v>
      </c>
    </row>
    <row r="11" spans="1:16" x14ac:dyDescent="0.2">
      <c r="A11" s="109">
        <v>1</v>
      </c>
      <c r="B11" s="110" t="s">
        <v>217</v>
      </c>
      <c r="C11" s="111" t="s">
        <v>218</v>
      </c>
      <c r="D11" s="111">
        <v>792</v>
      </c>
      <c r="E11" s="112">
        <f t="shared" ref="E11:E58" si="0">D11*F11</f>
        <v>3009.6</v>
      </c>
      <c r="F11" s="113">
        <f t="shared" ref="F11:F55" si="1">IF(M11&lt;25%,J11,K11)</f>
        <v>3.8</v>
      </c>
      <c r="G11" s="113">
        <v>3.8</v>
      </c>
      <c r="H11" s="113">
        <v>3.99</v>
      </c>
      <c r="I11" s="113">
        <v>3.6</v>
      </c>
      <c r="J11" s="114">
        <f t="shared" ref="J11:J58" si="2">ROUND(AVERAGE(G11:I11),2)</f>
        <v>3.8</v>
      </c>
      <c r="K11" s="114">
        <f t="shared" ref="K11:K58" si="3">MEDIAN(G11:I11)</f>
        <v>3.8</v>
      </c>
      <c r="L11" s="114">
        <f t="shared" ref="L11:L58" si="4">_xlfn.STDEV.P(G11:I11)</f>
        <v>0.15923427883328253</v>
      </c>
      <c r="M11" s="115">
        <f t="shared" ref="M11:M58" si="5">L11/J11</f>
        <v>4.1903757587705932E-2</v>
      </c>
      <c r="N11" s="116">
        <f t="shared" ref="N11:N58" si="6">G11/AVERAGE(H11:I11)</f>
        <v>1.0013175230566536</v>
      </c>
      <c r="O11" s="116">
        <f t="shared" ref="O11:O58" si="7">H11/AVERAGE(G11,I11)</f>
        <v>1.0783783783783785</v>
      </c>
      <c r="P11" s="116">
        <f t="shared" ref="P11:P58" si="8">I11/AVERAGE(G11:H11)</f>
        <v>0.92426187419768935</v>
      </c>
    </row>
    <row r="12" spans="1:16" x14ac:dyDescent="0.2">
      <c r="A12" s="109">
        <v>2</v>
      </c>
      <c r="B12" s="110" t="s">
        <v>219</v>
      </c>
      <c r="C12" s="111" t="s">
        <v>218</v>
      </c>
      <c r="D12" s="111">
        <v>390</v>
      </c>
      <c r="E12" s="112">
        <f t="shared" si="0"/>
        <v>2960.1</v>
      </c>
      <c r="F12" s="113">
        <f t="shared" si="1"/>
        <v>7.59</v>
      </c>
      <c r="G12" s="113">
        <v>7.6</v>
      </c>
      <c r="H12" s="113">
        <v>7.5</v>
      </c>
      <c r="I12" s="113">
        <v>7.67</v>
      </c>
      <c r="J12" s="114">
        <f t="shared" si="2"/>
        <v>7.59</v>
      </c>
      <c r="K12" s="114">
        <f t="shared" si="3"/>
        <v>7.6</v>
      </c>
      <c r="L12" s="114">
        <f t="shared" si="4"/>
        <v>6.9761498454854451E-2</v>
      </c>
      <c r="M12" s="115">
        <f t="shared" si="5"/>
        <v>9.1912382680967662E-3</v>
      </c>
      <c r="N12" s="116">
        <f t="shared" si="6"/>
        <v>1.0019775873434409</v>
      </c>
      <c r="O12" s="116">
        <f t="shared" si="7"/>
        <v>0.98231827111984282</v>
      </c>
      <c r="P12" s="116">
        <f t="shared" si="8"/>
        <v>1.0158940397350993</v>
      </c>
    </row>
    <row r="13" spans="1:16" x14ac:dyDescent="0.2">
      <c r="A13" s="109">
        <v>3</v>
      </c>
      <c r="B13" s="110" t="s">
        <v>221</v>
      </c>
      <c r="C13" s="117" t="s">
        <v>222</v>
      </c>
      <c r="D13" s="117">
        <v>50</v>
      </c>
      <c r="E13" s="112">
        <f t="shared" si="0"/>
        <v>100</v>
      </c>
      <c r="F13" s="113">
        <f>K13</f>
        <v>2</v>
      </c>
      <c r="G13" s="113">
        <v>2.08</v>
      </c>
      <c r="H13" s="113">
        <v>1.45</v>
      </c>
      <c r="I13" s="113">
        <v>2</v>
      </c>
      <c r="J13" s="114">
        <f t="shared" si="2"/>
        <v>1.84</v>
      </c>
      <c r="K13" s="114">
        <f t="shared" si="3"/>
        <v>2</v>
      </c>
      <c r="L13" s="114">
        <f t="shared" si="4"/>
        <v>0.28003967972810967</v>
      </c>
      <c r="M13" s="115">
        <f t="shared" si="5"/>
        <v>0.15219547811310308</v>
      </c>
      <c r="N13" s="116">
        <f t="shared" si="6"/>
        <v>1.2057971014492754</v>
      </c>
      <c r="O13" s="116">
        <f t="shared" si="7"/>
        <v>0.71078431372549011</v>
      </c>
      <c r="P13" s="116">
        <f t="shared" si="8"/>
        <v>1.1331444759206799</v>
      </c>
    </row>
    <row r="14" spans="1:16" x14ac:dyDescent="0.2">
      <c r="A14" s="109">
        <v>4</v>
      </c>
      <c r="B14" s="110" t="s">
        <v>224</v>
      </c>
      <c r="C14" s="117" t="s">
        <v>220</v>
      </c>
      <c r="D14" s="117">
        <v>450</v>
      </c>
      <c r="E14" s="112">
        <f t="shared" si="0"/>
        <v>24714</v>
      </c>
      <c r="F14" s="113">
        <f t="shared" si="1"/>
        <v>54.92</v>
      </c>
      <c r="G14" s="113">
        <v>58.39</v>
      </c>
      <c r="H14" s="113">
        <v>49.9</v>
      </c>
      <c r="I14" s="113">
        <v>56.48</v>
      </c>
      <c r="J14" s="114">
        <f t="shared" si="2"/>
        <v>54.92</v>
      </c>
      <c r="K14" s="114">
        <f t="shared" si="3"/>
        <v>56.48</v>
      </c>
      <c r="L14" s="114">
        <f t="shared" si="4"/>
        <v>3.6366131985070336</v>
      </c>
      <c r="M14" s="115">
        <f t="shared" si="5"/>
        <v>6.6216554961890634E-2</v>
      </c>
      <c r="N14" s="116">
        <f t="shared" si="6"/>
        <v>1.0977627373566461</v>
      </c>
      <c r="O14" s="116">
        <f t="shared" si="7"/>
        <v>0.86880821798554886</v>
      </c>
      <c r="P14" s="116">
        <f t="shared" si="8"/>
        <v>1.0431249422846061</v>
      </c>
    </row>
    <row r="15" spans="1:16" x14ac:dyDescent="0.2">
      <c r="A15" s="109">
        <v>5</v>
      </c>
      <c r="B15" s="110" t="s">
        <v>339</v>
      </c>
      <c r="C15" s="117" t="s">
        <v>220</v>
      </c>
      <c r="D15" s="117">
        <v>368</v>
      </c>
      <c r="E15" s="112">
        <f t="shared" si="0"/>
        <v>2944</v>
      </c>
      <c r="F15" s="113">
        <f t="shared" si="1"/>
        <v>8</v>
      </c>
      <c r="G15" s="113">
        <v>7.99</v>
      </c>
      <c r="H15" s="113">
        <v>8</v>
      </c>
      <c r="I15" s="113">
        <v>13.9</v>
      </c>
      <c r="J15" s="114">
        <f t="shared" si="2"/>
        <v>9.9600000000000009</v>
      </c>
      <c r="K15" s="114">
        <f t="shared" si="3"/>
        <v>8</v>
      </c>
      <c r="L15" s="114">
        <f t="shared" si="4"/>
        <v>2.7836466889475937</v>
      </c>
      <c r="M15" s="115">
        <f t="shared" si="5"/>
        <v>0.27948259929192704</v>
      </c>
      <c r="N15" s="116">
        <f t="shared" si="6"/>
        <v>0.72968036529680369</v>
      </c>
      <c r="O15" s="116">
        <f t="shared" si="7"/>
        <v>0.73092736409319325</v>
      </c>
      <c r="P15" s="116">
        <f t="shared" si="8"/>
        <v>1.7385866166353972</v>
      </c>
    </row>
    <row r="16" spans="1:16" x14ac:dyDescent="0.2">
      <c r="A16" s="109">
        <v>6</v>
      </c>
      <c r="B16" s="110" t="s">
        <v>340</v>
      </c>
      <c r="C16" s="117" t="s">
        <v>220</v>
      </c>
      <c r="D16" s="117">
        <v>92</v>
      </c>
      <c r="E16" s="112">
        <f t="shared" si="0"/>
        <v>329.36</v>
      </c>
      <c r="F16" s="113">
        <f>K16</f>
        <v>3.58</v>
      </c>
      <c r="G16" s="113">
        <v>5.1100000000000003</v>
      </c>
      <c r="H16" s="113">
        <v>2.75</v>
      </c>
      <c r="I16" s="113">
        <v>3.58</v>
      </c>
      <c r="J16" s="114">
        <f t="shared" si="2"/>
        <v>3.81</v>
      </c>
      <c r="K16" s="114">
        <f t="shared" si="3"/>
        <v>3.58</v>
      </c>
      <c r="L16" s="114">
        <f t="shared" si="4"/>
        <v>0.9774911195959205</v>
      </c>
      <c r="M16" s="115">
        <f t="shared" si="5"/>
        <v>0.25655934897530719</v>
      </c>
      <c r="N16" s="116">
        <f t="shared" si="6"/>
        <v>1.6145339652448658</v>
      </c>
      <c r="O16" s="116">
        <f t="shared" si="7"/>
        <v>0.63291139240506322</v>
      </c>
      <c r="P16" s="116">
        <f t="shared" si="8"/>
        <v>0.91094147582697194</v>
      </c>
    </row>
    <row r="17" spans="1:16" ht="28.5" x14ac:dyDescent="0.2">
      <c r="A17" s="109">
        <v>7</v>
      </c>
      <c r="B17" s="110" t="s">
        <v>341</v>
      </c>
      <c r="C17" s="111" t="s">
        <v>225</v>
      </c>
      <c r="D17" s="111">
        <v>8</v>
      </c>
      <c r="E17" s="112">
        <f t="shared" si="0"/>
        <v>520</v>
      </c>
      <c r="F17" s="113">
        <f>K17</f>
        <v>65</v>
      </c>
      <c r="G17" s="113">
        <v>65</v>
      </c>
      <c r="H17" s="113">
        <v>80</v>
      </c>
      <c r="I17" s="113">
        <v>53.12</v>
      </c>
      <c r="J17" s="114">
        <f t="shared" si="2"/>
        <v>66.040000000000006</v>
      </c>
      <c r="K17" s="114">
        <f t="shared" si="3"/>
        <v>65</v>
      </c>
      <c r="L17" s="114">
        <f t="shared" si="4"/>
        <v>10.99832714552532</v>
      </c>
      <c r="M17" s="115">
        <f t="shared" si="5"/>
        <v>0.16654038681897818</v>
      </c>
      <c r="N17" s="116">
        <f t="shared" si="6"/>
        <v>0.9765625</v>
      </c>
      <c r="O17" s="116">
        <f t="shared" si="7"/>
        <v>1.3545546901456145</v>
      </c>
      <c r="P17" s="116">
        <f t="shared" si="8"/>
        <v>0.7326896551724138</v>
      </c>
    </row>
    <row r="18" spans="1:16" x14ac:dyDescent="0.2">
      <c r="A18" s="109">
        <v>8</v>
      </c>
      <c r="B18" s="110" t="s">
        <v>226</v>
      </c>
      <c r="C18" s="111" t="s">
        <v>227</v>
      </c>
      <c r="D18" s="111">
        <v>1</v>
      </c>
      <c r="E18" s="112">
        <f t="shared" si="0"/>
        <v>15.5</v>
      </c>
      <c r="F18" s="113">
        <f>K18</f>
        <v>15.5</v>
      </c>
      <c r="G18" s="113">
        <v>15.5</v>
      </c>
      <c r="H18" s="113">
        <v>13.89</v>
      </c>
      <c r="I18" s="121">
        <v>66.89</v>
      </c>
      <c r="J18" s="114">
        <f t="shared" si="2"/>
        <v>32.090000000000003</v>
      </c>
      <c r="K18" s="114">
        <f t="shared" si="3"/>
        <v>15.5</v>
      </c>
      <c r="L18" s="114">
        <f t="shared" si="4"/>
        <v>24.613736453903584</v>
      </c>
      <c r="M18" s="115">
        <f t="shared" si="5"/>
        <v>0.76702201476795207</v>
      </c>
      <c r="N18" s="116">
        <f t="shared" si="6"/>
        <v>0.38375835602871999</v>
      </c>
      <c r="O18" s="116">
        <f t="shared" si="7"/>
        <v>0.33717684184973906</v>
      </c>
      <c r="P18" s="116">
        <f t="shared" si="8"/>
        <v>4.5518883974140865</v>
      </c>
    </row>
    <row r="19" spans="1:16" x14ac:dyDescent="0.2">
      <c r="A19" s="109">
        <v>9</v>
      </c>
      <c r="B19" s="110" t="s">
        <v>228</v>
      </c>
      <c r="C19" s="111" t="s">
        <v>227</v>
      </c>
      <c r="D19" s="111">
        <v>1</v>
      </c>
      <c r="E19" s="112">
        <f t="shared" si="0"/>
        <v>38.229999999999997</v>
      </c>
      <c r="F19" s="113">
        <f t="shared" si="1"/>
        <v>38.229999999999997</v>
      </c>
      <c r="G19" s="121">
        <v>42.75</v>
      </c>
      <c r="H19" s="121">
        <v>39</v>
      </c>
      <c r="I19" s="121">
        <v>32.950000000000003</v>
      </c>
      <c r="J19" s="114">
        <f t="shared" si="2"/>
        <v>38.229999999999997</v>
      </c>
      <c r="K19" s="114">
        <f t="shared" si="3"/>
        <v>39</v>
      </c>
      <c r="L19" s="114">
        <f t="shared" si="4"/>
        <v>4.0373946494683608</v>
      </c>
      <c r="M19" s="115">
        <f t="shared" si="5"/>
        <v>0.10560802117364272</v>
      </c>
      <c r="N19" s="116">
        <f t="shared" si="6"/>
        <v>1.1883252258512855</v>
      </c>
      <c r="O19" s="116">
        <f t="shared" si="7"/>
        <v>1.0303830911492735</v>
      </c>
      <c r="P19" s="116">
        <f t="shared" si="8"/>
        <v>0.80611620795107042</v>
      </c>
    </row>
    <row r="20" spans="1:16" x14ac:dyDescent="0.2">
      <c r="A20" s="109">
        <v>10</v>
      </c>
      <c r="B20" s="110" t="s">
        <v>229</v>
      </c>
      <c r="C20" s="111" t="s">
        <v>227</v>
      </c>
      <c r="D20" s="111">
        <v>1</v>
      </c>
      <c r="E20" s="112">
        <f t="shared" si="0"/>
        <v>36.4</v>
      </c>
      <c r="F20" s="113">
        <f>K20</f>
        <v>36.4</v>
      </c>
      <c r="G20" s="113">
        <v>36.4</v>
      </c>
      <c r="H20" s="113">
        <v>25.69</v>
      </c>
      <c r="I20" s="121">
        <v>44.12</v>
      </c>
      <c r="J20" s="114">
        <f t="shared" si="2"/>
        <v>35.4</v>
      </c>
      <c r="K20" s="114">
        <f t="shared" si="3"/>
        <v>36.4</v>
      </c>
      <c r="L20" s="114">
        <f t="shared" si="4"/>
        <v>7.5569497079766537</v>
      </c>
      <c r="M20" s="115">
        <f t="shared" si="5"/>
        <v>0.21347315559256086</v>
      </c>
      <c r="N20" s="116">
        <f t="shared" si="6"/>
        <v>1.042830540037244</v>
      </c>
      <c r="O20" s="116">
        <f t="shared" si="7"/>
        <v>0.63810233482364631</v>
      </c>
      <c r="P20" s="116">
        <f t="shared" si="8"/>
        <v>1.4211628281526814</v>
      </c>
    </row>
    <row r="21" spans="1:16" x14ac:dyDescent="0.2">
      <c r="A21" s="109">
        <v>11</v>
      </c>
      <c r="B21" s="110" t="s">
        <v>230</v>
      </c>
      <c r="C21" s="111" t="s">
        <v>227</v>
      </c>
      <c r="D21" s="111">
        <v>1</v>
      </c>
      <c r="E21" s="112">
        <f t="shared" si="0"/>
        <v>24.12</v>
      </c>
      <c r="F21" s="113">
        <f>K21</f>
        <v>24.12</v>
      </c>
      <c r="G21" s="121">
        <v>24.12</v>
      </c>
      <c r="H21" s="113">
        <v>14.59</v>
      </c>
      <c r="I21" s="121">
        <v>25.66</v>
      </c>
      <c r="J21" s="114">
        <f t="shared" si="2"/>
        <v>21.46</v>
      </c>
      <c r="K21" s="114">
        <f t="shared" si="3"/>
        <v>24.12</v>
      </c>
      <c r="L21" s="114">
        <f t="shared" si="4"/>
        <v>4.8960006354393091</v>
      </c>
      <c r="M21" s="115">
        <f t="shared" si="5"/>
        <v>0.22814541637648225</v>
      </c>
      <c r="N21" s="116">
        <f t="shared" si="6"/>
        <v>1.1985093167701864</v>
      </c>
      <c r="O21" s="116">
        <f t="shared" si="7"/>
        <v>0.58617918842908801</v>
      </c>
      <c r="P21" s="116">
        <f t="shared" si="8"/>
        <v>1.3257556187031774</v>
      </c>
    </row>
    <row r="22" spans="1:16" x14ac:dyDescent="0.2">
      <c r="A22" s="109">
        <v>12</v>
      </c>
      <c r="B22" s="110" t="s">
        <v>231</v>
      </c>
      <c r="C22" s="111" t="s">
        <v>227</v>
      </c>
      <c r="D22" s="111">
        <v>1</v>
      </c>
      <c r="E22" s="112">
        <f t="shared" si="0"/>
        <v>26.25</v>
      </c>
      <c r="F22" s="113">
        <f t="shared" ref="F22:F27" si="9">K22</f>
        <v>26.25</v>
      </c>
      <c r="G22" s="113">
        <v>32.1</v>
      </c>
      <c r="H22" s="113">
        <v>26.25</v>
      </c>
      <c r="I22" s="121">
        <v>24.7</v>
      </c>
      <c r="J22" s="114">
        <f t="shared" si="2"/>
        <v>27.68</v>
      </c>
      <c r="K22" s="114">
        <f t="shared" si="3"/>
        <v>26.25</v>
      </c>
      <c r="L22" s="114">
        <f t="shared" si="4"/>
        <v>3.1865167328744586</v>
      </c>
      <c r="M22" s="115">
        <f t="shared" si="5"/>
        <v>0.11511982416453968</v>
      </c>
      <c r="N22" s="116">
        <f t="shared" si="6"/>
        <v>1.2600588812561335</v>
      </c>
      <c r="O22" s="116">
        <f t="shared" si="7"/>
        <v>0.92429577464788737</v>
      </c>
      <c r="P22" s="116">
        <f t="shared" si="8"/>
        <v>0.84661525278491856</v>
      </c>
    </row>
    <row r="23" spans="1:16" x14ac:dyDescent="0.2">
      <c r="A23" s="109">
        <v>13</v>
      </c>
      <c r="B23" s="110" t="s">
        <v>232</v>
      </c>
      <c r="C23" s="111" t="s">
        <v>227</v>
      </c>
      <c r="D23" s="111">
        <v>1</v>
      </c>
      <c r="E23" s="112">
        <f t="shared" si="0"/>
        <v>30.75</v>
      </c>
      <c r="F23" s="113">
        <f t="shared" si="9"/>
        <v>30.75</v>
      </c>
      <c r="G23" s="113">
        <v>36.630000000000003</v>
      </c>
      <c r="H23" s="113">
        <v>23.06</v>
      </c>
      <c r="I23" s="113">
        <v>30.75</v>
      </c>
      <c r="J23" s="114">
        <f t="shared" si="2"/>
        <v>30.15</v>
      </c>
      <c r="K23" s="114">
        <f t="shared" si="3"/>
        <v>30.75</v>
      </c>
      <c r="L23" s="114">
        <f t="shared" si="4"/>
        <v>5.5563317235584728</v>
      </c>
      <c r="M23" s="115">
        <f t="shared" si="5"/>
        <v>0.18428960940492448</v>
      </c>
      <c r="N23" s="116">
        <f t="shared" si="6"/>
        <v>1.3614569782568295</v>
      </c>
      <c r="O23" s="116">
        <f t="shared" si="7"/>
        <v>0.68447610566933814</v>
      </c>
      <c r="P23" s="116">
        <f t="shared" si="8"/>
        <v>1.0303233372424192</v>
      </c>
    </row>
    <row r="24" spans="1:16" x14ac:dyDescent="0.2">
      <c r="A24" s="109">
        <v>14</v>
      </c>
      <c r="B24" s="110" t="s">
        <v>233</v>
      </c>
      <c r="C24" s="111" t="s">
        <v>227</v>
      </c>
      <c r="D24" s="111">
        <v>1</v>
      </c>
      <c r="E24" s="112">
        <f t="shared" si="0"/>
        <v>47.77</v>
      </c>
      <c r="F24" s="113">
        <f t="shared" si="9"/>
        <v>47.77</v>
      </c>
      <c r="G24" s="121">
        <v>60.65</v>
      </c>
      <c r="H24" s="121">
        <v>41.29</v>
      </c>
      <c r="I24" s="121">
        <v>47.77</v>
      </c>
      <c r="J24" s="114">
        <f t="shared" si="2"/>
        <v>49.9</v>
      </c>
      <c r="K24" s="114">
        <f t="shared" si="3"/>
        <v>47.77</v>
      </c>
      <c r="L24" s="114">
        <f t="shared" si="4"/>
        <v>8.0463545921256703</v>
      </c>
      <c r="M24" s="115">
        <f t="shared" si="5"/>
        <v>0.16124959102456254</v>
      </c>
      <c r="N24" s="116">
        <f t="shared" si="6"/>
        <v>1.3620031439479001</v>
      </c>
      <c r="O24" s="116">
        <f t="shared" si="7"/>
        <v>0.76166758900571851</v>
      </c>
      <c r="P24" s="116">
        <f t="shared" si="8"/>
        <v>0.93721797135569951</v>
      </c>
    </row>
    <row r="25" spans="1:16" x14ac:dyDescent="0.2">
      <c r="A25" s="109">
        <v>15</v>
      </c>
      <c r="B25" s="110" t="s">
        <v>234</v>
      </c>
      <c r="C25" s="111" t="s">
        <v>227</v>
      </c>
      <c r="D25" s="111">
        <v>1</v>
      </c>
      <c r="E25" s="112">
        <f t="shared" si="0"/>
        <v>17</v>
      </c>
      <c r="F25" s="113">
        <f t="shared" si="9"/>
        <v>17</v>
      </c>
      <c r="G25" s="113">
        <v>17</v>
      </c>
      <c r="H25" s="113">
        <v>13.89</v>
      </c>
      <c r="I25" s="121">
        <v>25</v>
      </c>
      <c r="J25" s="114">
        <f t="shared" si="2"/>
        <v>18.63</v>
      </c>
      <c r="K25" s="114">
        <f t="shared" si="3"/>
        <v>17</v>
      </c>
      <c r="L25" s="114">
        <f t="shared" si="4"/>
        <v>4.6797934427351215</v>
      </c>
      <c r="M25" s="115">
        <f t="shared" si="5"/>
        <v>0.25119664212212139</v>
      </c>
      <c r="N25" s="116">
        <f t="shared" si="6"/>
        <v>0.87426073540755977</v>
      </c>
      <c r="O25" s="116">
        <f t="shared" si="7"/>
        <v>0.66142857142857148</v>
      </c>
      <c r="P25" s="116">
        <f t="shared" si="8"/>
        <v>1.6186468112657817</v>
      </c>
    </row>
    <row r="26" spans="1:16" x14ac:dyDescent="0.2">
      <c r="A26" s="109">
        <v>16</v>
      </c>
      <c r="B26" s="110" t="s">
        <v>235</v>
      </c>
      <c r="C26" s="111" t="s">
        <v>227</v>
      </c>
      <c r="D26" s="111">
        <v>1</v>
      </c>
      <c r="E26" s="112">
        <f t="shared" si="0"/>
        <v>23.61</v>
      </c>
      <c r="F26" s="113">
        <f t="shared" si="9"/>
        <v>23.61</v>
      </c>
      <c r="G26" s="113">
        <v>23.61</v>
      </c>
      <c r="H26" s="113">
        <v>22.5</v>
      </c>
      <c r="I26" s="113">
        <v>30</v>
      </c>
      <c r="J26" s="114">
        <f t="shared" si="2"/>
        <v>25.37</v>
      </c>
      <c r="K26" s="114">
        <f t="shared" si="3"/>
        <v>23.61</v>
      </c>
      <c r="L26" s="114">
        <f t="shared" si="4"/>
        <v>3.305117244516445</v>
      </c>
      <c r="M26" s="115">
        <f t="shared" si="5"/>
        <v>0.1302765961575264</v>
      </c>
      <c r="N26" s="116">
        <f t="shared" si="6"/>
        <v>0.89942857142857136</v>
      </c>
      <c r="O26" s="116">
        <f t="shared" si="7"/>
        <v>0.83939563514269722</v>
      </c>
      <c r="P26" s="116">
        <f t="shared" si="8"/>
        <v>1.3012361743656473</v>
      </c>
    </row>
    <row r="27" spans="1:16" x14ac:dyDescent="0.2">
      <c r="A27" s="109">
        <v>17</v>
      </c>
      <c r="B27" s="110" t="s">
        <v>236</v>
      </c>
      <c r="C27" s="111" t="s">
        <v>227</v>
      </c>
      <c r="D27" s="111">
        <v>1</v>
      </c>
      <c r="E27" s="112">
        <f t="shared" si="0"/>
        <v>36.200000000000003</v>
      </c>
      <c r="F27" s="113">
        <f t="shared" si="9"/>
        <v>36.200000000000003</v>
      </c>
      <c r="G27" s="113">
        <v>36.200000000000003</v>
      </c>
      <c r="H27" s="113">
        <v>26.89</v>
      </c>
      <c r="I27" s="121">
        <v>56.05</v>
      </c>
      <c r="J27" s="114">
        <f t="shared" si="2"/>
        <v>39.71</v>
      </c>
      <c r="K27" s="114">
        <f t="shared" si="3"/>
        <v>36.200000000000003</v>
      </c>
      <c r="L27" s="114">
        <f t="shared" si="4"/>
        <v>12.16097675170689</v>
      </c>
      <c r="M27" s="115">
        <f t="shared" si="5"/>
        <v>0.30624469281558525</v>
      </c>
      <c r="N27" s="116">
        <f t="shared" si="6"/>
        <v>0.87292018326501097</v>
      </c>
      <c r="O27" s="116">
        <f t="shared" si="7"/>
        <v>0.58298102981029809</v>
      </c>
      <c r="P27" s="116">
        <f t="shared" si="8"/>
        <v>1.7768267554287525</v>
      </c>
    </row>
    <row r="28" spans="1:16" ht="28.5" x14ac:dyDescent="0.2">
      <c r="A28" s="109">
        <v>18</v>
      </c>
      <c r="B28" s="110" t="s">
        <v>240</v>
      </c>
      <c r="C28" s="111" t="s">
        <v>220</v>
      </c>
      <c r="D28" s="111">
        <v>130</v>
      </c>
      <c r="E28" s="112">
        <f t="shared" si="0"/>
        <v>300.3</v>
      </c>
      <c r="F28" s="113">
        <f t="shared" si="1"/>
        <v>2.31</v>
      </c>
      <c r="G28" s="113">
        <v>2.15</v>
      </c>
      <c r="H28" s="113">
        <v>2.16</v>
      </c>
      <c r="I28" s="113">
        <v>2.63</v>
      </c>
      <c r="J28" s="114">
        <f t="shared" si="2"/>
        <v>2.31</v>
      </c>
      <c r="K28" s="114">
        <f t="shared" si="3"/>
        <v>2.16</v>
      </c>
      <c r="L28" s="114">
        <f t="shared" si="4"/>
        <v>0.2239543604298776</v>
      </c>
      <c r="M28" s="115">
        <f t="shared" si="5"/>
        <v>9.6949939580033589E-2</v>
      </c>
      <c r="N28" s="116">
        <f t="shared" si="6"/>
        <v>0.89770354906054273</v>
      </c>
      <c r="O28" s="116">
        <f t="shared" si="7"/>
        <v>0.90376569037656918</v>
      </c>
      <c r="P28" s="116">
        <f t="shared" si="8"/>
        <v>1.2204176334106727</v>
      </c>
    </row>
    <row r="29" spans="1:16" x14ac:dyDescent="0.2">
      <c r="A29" s="109">
        <v>19</v>
      </c>
      <c r="B29" s="110" t="s">
        <v>242</v>
      </c>
      <c r="C29" s="111" t="s">
        <v>220</v>
      </c>
      <c r="D29" s="111">
        <v>300</v>
      </c>
      <c r="E29" s="112">
        <f t="shared" si="0"/>
        <v>840</v>
      </c>
      <c r="F29" s="113">
        <f t="shared" si="1"/>
        <v>2.8</v>
      </c>
      <c r="G29" s="113">
        <v>1.99</v>
      </c>
      <c r="H29" s="113">
        <v>3.91</v>
      </c>
      <c r="I29" s="113">
        <v>2.8</v>
      </c>
      <c r="J29" s="114">
        <f t="shared" si="2"/>
        <v>2.9</v>
      </c>
      <c r="K29" s="114">
        <f t="shared" si="3"/>
        <v>2.8</v>
      </c>
      <c r="L29" s="114">
        <f t="shared" si="4"/>
        <v>0.78701969479804124</v>
      </c>
      <c r="M29" s="115">
        <f t="shared" si="5"/>
        <v>0.271386101654497</v>
      </c>
      <c r="N29" s="116">
        <f t="shared" si="6"/>
        <v>0.59314456035767515</v>
      </c>
      <c r="O29" s="116">
        <f t="shared" si="7"/>
        <v>1.6325678496868476</v>
      </c>
      <c r="P29" s="116">
        <f t="shared" si="8"/>
        <v>0.94915254237288127</v>
      </c>
    </row>
    <row r="30" spans="1:16" x14ac:dyDescent="0.2">
      <c r="A30" s="109">
        <v>20</v>
      </c>
      <c r="B30" s="110" t="s">
        <v>342</v>
      </c>
      <c r="C30" s="111" t="s">
        <v>220</v>
      </c>
      <c r="D30" s="111">
        <v>320</v>
      </c>
      <c r="E30" s="112">
        <f t="shared" si="0"/>
        <v>1180.8</v>
      </c>
      <c r="F30" s="113">
        <f t="shared" si="1"/>
        <v>3.69</v>
      </c>
      <c r="G30" s="113">
        <v>3.99</v>
      </c>
      <c r="H30" s="113">
        <v>3.5</v>
      </c>
      <c r="I30" s="113">
        <v>3.57</v>
      </c>
      <c r="J30" s="114">
        <f t="shared" si="2"/>
        <v>3.69</v>
      </c>
      <c r="K30" s="114">
        <f t="shared" si="3"/>
        <v>3.57</v>
      </c>
      <c r="L30" s="114">
        <f t="shared" si="4"/>
        <v>0.21638443156156653</v>
      </c>
      <c r="M30" s="115">
        <f t="shared" si="5"/>
        <v>5.8640767360858138E-2</v>
      </c>
      <c r="N30" s="116">
        <f t="shared" si="6"/>
        <v>1.1287128712871288</v>
      </c>
      <c r="O30" s="116">
        <f t="shared" si="7"/>
        <v>0.92592592592592582</v>
      </c>
      <c r="P30" s="116">
        <f t="shared" si="8"/>
        <v>0.95327102803738306</v>
      </c>
    </row>
    <row r="31" spans="1:16" ht="28.5" x14ac:dyDescent="0.2">
      <c r="A31" s="109">
        <v>21</v>
      </c>
      <c r="B31" s="110" t="s">
        <v>243</v>
      </c>
      <c r="C31" s="117" t="s">
        <v>244</v>
      </c>
      <c r="D31" s="117">
        <v>16</v>
      </c>
      <c r="E31" s="112">
        <f t="shared" si="0"/>
        <v>312</v>
      </c>
      <c r="F31" s="113">
        <f t="shared" si="1"/>
        <v>19.5</v>
      </c>
      <c r="G31" s="113">
        <v>19.5</v>
      </c>
      <c r="H31" s="113">
        <v>12.9</v>
      </c>
      <c r="I31" s="113">
        <v>29</v>
      </c>
      <c r="J31" s="114">
        <f t="shared" si="2"/>
        <v>20.47</v>
      </c>
      <c r="K31" s="114">
        <f t="shared" si="3"/>
        <v>19.5</v>
      </c>
      <c r="L31" s="114">
        <f t="shared" si="4"/>
        <v>6.6082440094845802</v>
      </c>
      <c r="M31" s="115">
        <f t="shared" si="5"/>
        <v>0.32282579430799124</v>
      </c>
      <c r="N31" s="116">
        <f t="shared" si="6"/>
        <v>0.93078758949880669</v>
      </c>
      <c r="O31" s="116">
        <f t="shared" si="7"/>
        <v>0.53195876288659794</v>
      </c>
      <c r="P31" s="116">
        <f t="shared" si="8"/>
        <v>1.7901234567901236</v>
      </c>
    </row>
    <row r="32" spans="1:16" x14ac:dyDescent="0.2">
      <c r="A32" s="109">
        <v>22</v>
      </c>
      <c r="B32" s="110" t="s">
        <v>245</v>
      </c>
      <c r="C32" s="111" t="s">
        <v>218</v>
      </c>
      <c r="D32" s="111">
        <v>184</v>
      </c>
      <c r="E32" s="112">
        <f t="shared" si="0"/>
        <v>1319.28</v>
      </c>
      <c r="F32" s="113">
        <f>K32</f>
        <v>7.17</v>
      </c>
      <c r="G32" s="113">
        <v>6</v>
      </c>
      <c r="H32" s="113">
        <v>9.3000000000000007</v>
      </c>
      <c r="I32" s="113">
        <v>7.17</v>
      </c>
      <c r="J32" s="114">
        <f t="shared" si="2"/>
        <v>7.49</v>
      </c>
      <c r="K32" s="114">
        <f t="shared" si="3"/>
        <v>7.17</v>
      </c>
      <c r="L32" s="114">
        <f t="shared" si="4"/>
        <v>1.3660893089399406</v>
      </c>
      <c r="M32" s="115">
        <f t="shared" si="5"/>
        <v>0.18238842575967165</v>
      </c>
      <c r="N32" s="116">
        <f t="shared" si="6"/>
        <v>0.72859744990892539</v>
      </c>
      <c r="O32" s="116">
        <f t="shared" si="7"/>
        <v>1.4123006833712985</v>
      </c>
      <c r="P32" s="116">
        <f t="shared" si="8"/>
        <v>0.93725490196078431</v>
      </c>
    </row>
    <row r="33" spans="1:16" x14ac:dyDescent="0.2">
      <c r="A33" s="109">
        <v>23</v>
      </c>
      <c r="B33" s="110" t="s">
        <v>246</v>
      </c>
      <c r="C33" s="117" t="s">
        <v>218</v>
      </c>
      <c r="D33" s="117">
        <v>30</v>
      </c>
      <c r="E33" s="112">
        <f t="shared" si="0"/>
        <v>570</v>
      </c>
      <c r="F33" s="113">
        <f t="shared" si="1"/>
        <v>19</v>
      </c>
      <c r="G33" s="113">
        <v>19.8</v>
      </c>
      <c r="H33" s="113">
        <v>19.649999999999999</v>
      </c>
      <c r="I33" s="113">
        <v>17.559999999999999</v>
      </c>
      <c r="J33" s="114">
        <f t="shared" si="2"/>
        <v>19</v>
      </c>
      <c r="K33" s="114">
        <f t="shared" si="3"/>
        <v>19.649999999999999</v>
      </c>
      <c r="L33" s="114">
        <f t="shared" si="4"/>
        <v>1.0224263081296161</v>
      </c>
      <c r="M33" s="115">
        <f t="shared" si="5"/>
        <v>5.3811910954190321E-2</v>
      </c>
      <c r="N33" s="116">
        <f t="shared" si="6"/>
        <v>1.0642300456866436</v>
      </c>
      <c r="O33" s="116">
        <f t="shared" si="7"/>
        <v>1.0519271948608135</v>
      </c>
      <c r="P33" s="116">
        <f t="shared" si="8"/>
        <v>0.89024081115335851</v>
      </c>
    </row>
    <row r="34" spans="1:16" x14ac:dyDescent="0.2">
      <c r="A34" s="109">
        <v>24</v>
      </c>
      <c r="B34" s="110" t="s">
        <v>248</v>
      </c>
      <c r="C34" s="111" t="s">
        <v>249</v>
      </c>
      <c r="D34" s="111">
        <v>120</v>
      </c>
      <c r="E34" s="112">
        <f t="shared" si="0"/>
        <v>266.40000000000003</v>
      </c>
      <c r="F34" s="113">
        <f t="shared" si="1"/>
        <v>2.2200000000000002</v>
      </c>
      <c r="G34" s="113">
        <v>2.25</v>
      </c>
      <c r="H34" s="113">
        <v>2.2000000000000002</v>
      </c>
      <c r="I34" s="113">
        <v>2.2000000000000002</v>
      </c>
      <c r="J34" s="114">
        <f t="shared" si="2"/>
        <v>2.2200000000000002</v>
      </c>
      <c r="K34" s="114">
        <f t="shared" si="3"/>
        <v>2.2000000000000002</v>
      </c>
      <c r="L34" s="114">
        <f t="shared" si="4"/>
        <v>2.3570226039551501E-2</v>
      </c>
      <c r="M34" s="115">
        <f t="shared" si="5"/>
        <v>1.061721893673491E-2</v>
      </c>
      <c r="N34" s="116">
        <f t="shared" si="6"/>
        <v>1.0227272727272727</v>
      </c>
      <c r="O34" s="116">
        <f t="shared" si="7"/>
        <v>0.98876404494382031</v>
      </c>
      <c r="P34" s="116">
        <f t="shared" si="8"/>
        <v>0.98876404494382031</v>
      </c>
    </row>
    <row r="35" spans="1:16" ht="28.5" x14ac:dyDescent="0.2">
      <c r="A35" s="109">
        <v>25</v>
      </c>
      <c r="B35" s="110" t="s">
        <v>343</v>
      </c>
      <c r="C35" s="117" t="s">
        <v>218</v>
      </c>
      <c r="D35" s="117">
        <v>20</v>
      </c>
      <c r="E35" s="112">
        <f t="shared" si="0"/>
        <v>847</v>
      </c>
      <c r="F35" s="113">
        <f t="shared" si="1"/>
        <v>42.35</v>
      </c>
      <c r="G35" s="113">
        <v>45.55</v>
      </c>
      <c r="H35" s="113">
        <v>41</v>
      </c>
      <c r="I35" s="113">
        <v>40.5</v>
      </c>
      <c r="J35" s="114">
        <f t="shared" si="2"/>
        <v>42.35</v>
      </c>
      <c r="K35" s="114">
        <f t="shared" si="3"/>
        <v>41</v>
      </c>
      <c r="L35" s="114">
        <f t="shared" si="4"/>
        <v>2.2719301632459263</v>
      </c>
      <c r="M35" s="115">
        <f t="shared" si="5"/>
        <v>5.364652097392978E-2</v>
      </c>
      <c r="N35" s="116">
        <f t="shared" si="6"/>
        <v>1.1177914110429448</v>
      </c>
      <c r="O35" s="116">
        <f t="shared" si="7"/>
        <v>0.95293434049970949</v>
      </c>
      <c r="P35" s="116">
        <f t="shared" si="8"/>
        <v>0.93587521663778162</v>
      </c>
    </row>
    <row r="36" spans="1:16" x14ac:dyDescent="0.2">
      <c r="A36" s="109">
        <v>26</v>
      </c>
      <c r="B36" s="110" t="s">
        <v>344</v>
      </c>
      <c r="C36" s="117" t="s">
        <v>218</v>
      </c>
      <c r="D36" s="117">
        <v>20</v>
      </c>
      <c r="E36" s="112">
        <f t="shared" si="0"/>
        <v>760</v>
      </c>
      <c r="F36" s="113">
        <f>K36</f>
        <v>38</v>
      </c>
      <c r="G36" s="113">
        <v>30.63</v>
      </c>
      <c r="H36" s="113">
        <v>38</v>
      </c>
      <c r="I36" s="113">
        <v>44</v>
      </c>
      <c r="J36" s="114">
        <f t="shared" si="2"/>
        <v>37.54</v>
      </c>
      <c r="K36" s="114">
        <f t="shared" si="3"/>
        <v>38</v>
      </c>
      <c r="L36" s="114">
        <f t="shared" si="4"/>
        <v>5.4678230484251324</v>
      </c>
      <c r="M36" s="115">
        <f t="shared" si="5"/>
        <v>0.14565325115676964</v>
      </c>
      <c r="N36" s="116">
        <f t="shared" si="6"/>
        <v>0.74707317073170731</v>
      </c>
      <c r="O36" s="116">
        <f t="shared" si="7"/>
        <v>1.0183572289963823</v>
      </c>
      <c r="P36" s="116">
        <f t="shared" si="8"/>
        <v>1.2822380882995776</v>
      </c>
    </row>
    <row r="37" spans="1:16" x14ac:dyDescent="0.2">
      <c r="A37" s="109">
        <v>27</v>
      </c>
      <c r="B37" s="110" t="s">
        <v>250</v>
      </c>
      <c r="C37" s="111" t="s">
        <v>251</v>
      </c>
      <c r="D37" s="111">
        <v>12</v>
      </c>
      <c r="E37" s="112">
        <f t="shared" si="0"/>
        <v>278.64</v>
      </c>
      <c r="F37" s="113">
        <f t="shared" ref="F37:F39" si="10">K37</f>
        <v>23.22</v>
      </c>
      <c r="G37" s="113">
        <v>14.9</v>
      </c>
      <c r="H37" s="113">
        <v>24.93</v>
      </c>
      <c r="I37" s="113">
        <v>23.22</v>
      </c>
      <c r="J37" s="114">
        <f t="shared" si="2"/>
        <v>21.02</v>
      </c>
      <c r="K37" s="114">
        <f t="shared" si="3"/>
        <v>23.22</v>
      </c>
      <c r="L37" s="114">
        <f t="shared" si="4"/>
        <v>4.3811135063537874</v>
      </c>
      <c r="M37" s="115">
        <f t="shared" si="5"/>
        <v>0.20842595177705936</v>
      </c>
      <c r="N37" s="116">
        <f t="shared" si="6"/>
        <v>0.61889927310488058</v>
      </c>
      <c r="O37" s="116">
        <f t="shared" si="7"/>
        <v>1.3079748163693601</v>
      </c>
      <c r="P37" s="116">
        <f t="shared" si="8"/>
        <v>1.1659553100677882</v>
      </c>
    </row>
    <row r="38" spans="1:16" ht="28.5" x14ac:dyDescent="0.2">
      <c r="A38" s="109">
        <v>28</v>
      </c>
      <c r="B38" s="110" t="s">
        <v>254</v>
      </c>
      <c r="C38" s="117" t="s">
        <v>222</v>
      </c>
      <c r="D38" s="117">
        <v>20</v>
      </c>
      <c r="E38" s="112">
        <f t="shared" si="0"/>
        <v>200</v>
      </c>
      <c r="F38" s="113">
        <f t="shared" si="10"/>
        <v>10</v>
      </c>
      <c r="G38" s="113">
        <v>7.84</v>
      </c>
      <c r="H38" s="113">
        <v>10</v>
      </c>
      <c r="I38" s="113">
        <v>14.4</v>
      </c>
      <c r="J38" s="114">
        <f t="shared" si="2"/>
        <v>10.75</v>
      </c>
      <c r="K38" s="114">
        <f t="shared" si="3"/>
        <v>10</v>
      </c>
      <c r="L38" s="114">
        <f t="shared" si="4"/>
        <v>2.7296560629907551</v>
      </c>
      <c r="M38" s="115">
        <f t="shared" si="5"/>
        <v>0.25392149423169813</v>
      </c>
      <c r="N38" s="116">
        <f t="shared" si="6"/>
        <v>0.64262295081967213</v>
      </c>
      <c r="O38" s="116">
        <f t="shared" si="7"/>
        <v>0.89928057553956831</v>
      </c>
      <c r="P38" s="116">
        <f t="shared" si="8"/>
        <v>1.6143497757847534</v>
      </c>
    </row>
    <row r="39" spans="1:16" ht="28.5" x14ac:dyDescent="0.2">
      <c r="A39" s="109">
        <v>29</v>
      </c>
      <c r="B39" s="110" t="s">
        <v>255</v>
      </c>
      <c r="C39" s="117" t="s">
        <v>220</v>
      </c>
      <c r="D39" s="117">
        <v>444</v>
      </c>
      <c r="E39" s="118">
        <f t="shared" si="0"/>
        <v>2308.8000000000002</v>
      </c>
      <c r="F39" s="113">
        <f t="shared" si="10"/>
        <v>5.2</v>
      </c>
      <c r="G39" s="113">
        <v>4</v>
      </c>
      <c r="H39" s="113">
        <v>8.5</v>
      </c>
      <c r="I39" s="113">
        <v>5.2</v>
      </c>
      <c r="J39" s="114">
        <f t="shared" si="2"/>
        <v>5.9</v>
      </c>
      <c r="K39" s="114">
        <f t="shared" si="3"/>
        <v>5.2</v>
      </c>
      <c r="L39" s="114">
        <f t="shared" si="4"/>
        <v>1.902629759044046</v>
      </c>
      <c r="M39" s="119">
        <f t="shared" si="5"/>
        <v>0.32247962017695692</v>
      </c>
      <c r="N39" s="120">
        <f t="shared" si="6"/>
        <v>0.58394160583941612</v>
      </c>
      <c r="O39" s="120">
        <f t="shared" si="7"/>
        <v>1.847826086956522</v>
      </c>
      <c r="P39" s="120">
        <f t="shared" si="8"/>
        <v>0.83200000000000007</v>
      </c>
    </row>
    <row r="40" spans="1:16" x14ac:dyDescent="0.2">
      <c r="A40" s="109">
        <v>30</v>
      </c>
      <c r="B40" s="122" t="s">
        <v>257</v>
      </c>
      <c r="C40" s="117" t="s">
        <v>220</v>
      </c>
      <c r="D40" s="117">
        <v>27</v>
      </c>
      <c r="E40" s="118">
        <f t="shared" si="0"/>
        <v>121.23</v>
      </c>
      <c r="F40" s="113">
        <f t="shared" si="1"/>
        <v>4.49</v>
      </c>
      <c r="G40" s="113">
        <v>4.75</v>
      </c>
      <c r="H40" s="113">
        <v>4.57</v>
      </c>
      <c r="I40" s="113">
        <v>4.1399999999999997</v>
      </c>
      <c r="J40" s="114">
        <f t="shared" si="2"/>
        <v>4.49</v>
      </c>
      <c r="K40" s="114">
        <f t="shared" si="3"/>
        <v>4.57</v>
      </c>
      <c r="L40" s="114">
        <f t="shared" si="4"/>
        <v>0.25590796956892331</v>
      </c>
      <c r="M40" s="119">
        <f t="shared" si="5"/>
        <v>5.6995093445194496E-2</v>
      </c>
      <c r="N40" s="120">
        <f t="shared" si="6"/>
        <v>1.0907003444316876</v>
      </c>
      <c r="O40" s="120">
        <f t="shared" si="7"/>
        <v>1.0281214848143982</v>
      </c>
      <c r="P40" s="120">
        <f t="shared" si="8"/>
        <v>0.88841201716738183</v>
      </c>
    </row>
    <row r="41" spans="1:16" x14ac:dyDescent="0.2">
      <c r="A41" s="109">
        <v>31</v>
      </c>
      <c r="B41" s="110" t="s">
        <v>258</v>
      </c>
      <c r="C41" s="117" t="s">
        <v>222</v>
      </c>
      <c r="D41" s="117">
        <v>20</v>
      </c>
      <c r="E41" s="112">
        <f t="shared" si="0"/>
        <v>300</v>
      </c>
      <c r="F41" s="113">
        <f t="shared" si="1"/>
        <v>15</v>
      </c>
      <c r="G41" s="113">
        <v>33</v>
      </c>
      <c r="H41" s="113">
        <v>15</v>
      </c>
      <c r="I41" s="113">
        <v>11.66</v>
      </c>
      <c r="J41" s="114">
        <f t="shared" si="2"/>
        <v>19.89</v>
      </c>
      <c r="K41" s="114">
        <f t="shared" si="3"/>
        <v>15</v>
      </c>
      <c r="L41" s="114">
        <f t="shared" si="4"/>
        <v>9.372247447769519</v>
      </c>
      <c r="M41" s="115">
        <f t="shared" si="5"/>
        <v>0.47120399435744187</v>
      </c>
      <c r="N41" s="116">
        <f t="shared" si="6"/>
        <v>2.4756189047261814</v>
      </c>
      <c r="O41" s="116">
        <f t="shared" si="7"/>
        <v>0.67174205105239593</v>
      </c>
      <c r="P41" s="116">
        <f t="shared" si="8"/>
        <v>0.48583333333333334</v>
      </c>
    </row>
    <row r="42" spans="1:16" ht="28.5" x14ac:dyDescent="0.2">
      <c r="A42" s="109">
        <v>32</v>
      </c>
      <c r="B42" s="110" t="s">
        <v>259</v>
      </c>
      <c r="C42" s="111" t="s">
        <v>220</v>
      </c>
      <c r="D42" s="111">
        <v>276</v>
      </c>
      <c r="E42" s="112">
        <f t="shared" si="0"/>
        <v>1197.8399999999999</v>
      </c>
      <c r="F42" s="113">
        <f t="shared" si="1"/>
        <v>4.34</v>
      </c>
      <c r="G42" s="113">
        <v>4.32</v>
      </c>
      <c r="H42" s="113">
        <v>3.7</v>
      </c>
      <c r="I42" s="113">
        <v>5</v>
      </c>
      <c r="J42" s="114">
        <f t="shared" si="2"/>
        <v>4.34</v>
      </c>
      <c r="K42" s="114">
        <f t="shared" si="3"/>
        <v>4.32</v>
      </c>
      <c r="L42" s="114">
        <f t="shared" si="4"/>
        <v>0.53091116645505754</v>
      </c>
      <c r="M42" s="115">
        <f t="shared" si="5"/>
        <v>0.12232976185600404</v>
      </c>
      <c r="N42" s="116">
        <f t="shared" si="6"/>
        <v>0.99310344827586217</v>
      </c>
      <c r="O42" s="116">
        <f t="shared" si="7"/>
        <v>0.79399141630901293</v>
      </c>
      <c r="P42" s="116">
        <f t="shared" si="8"/>
        <v>1.2468827930174564</v>
      </c>
    </row>
    <row r="43" spans="1:16" ht="42.75" x14ac:dyDescent="0.2">
      <c r="A43" s="109">
        <v>33</v>
      </c>
      <c r="B43" s="110" t="s">
        <v>260</v>
      </c>
      <c r="C43" s="111" t="s">
        <v>261</v>
      </c>
      <c r="D43" s="111">
        <v>8</v>
      </c>
      <c r="E43" s="112">
        <f t="shared" si="0"/>
        <v>725.36</v>
      </c>
      <c r="F43" s="113">
        <f t="shared" si="1"/>
        <v>90.67</v>
      </c>
      <c r="G43" s="113">
        <v>84</v>
      </c>
      <c r="H43" s="113">
        <v>88</v>
      </c>
      <c r="I43" s="113">
        <v>100</v>
      </c>
      <c r="J43" s="114">
        <f t="shared" si="2"/>
        <v>90.67</v>
      </c>
      <c r="K43" s="114">
        <f t="shared" si="3"/>
        <v>88</v>
      </c>
      <c r="L43" s="114">
        <f t="shared" si="4"/>
        <v>6.7986926847903799</v>
      </c>
      <c r="M43" s="115">
        <f t="shared" si="5"/>
        <v>7.4982824360762979E-2</v>
      </c>
      <c r="N43" s="116">
        <f t="shared" si="6"/>
        <v>0.8936170212765957</v>
      </c>
      <c r="O43" s="116">
        <f t="shared" si="7"/>
        <v>0.95652173913043481</v>
      </c>
      <c r="P43" s="116">
        <f t="shared" si="8"/>
        <v>1.1627906976744187</v>
      </c>
    </row>
    <row r="44" spans="1:16" ht="28.5" x14ac:dyDescent="0.2">
      <c r="A44" s="109">
        <v>34</v>
      </c>
      <c r="B44" s="110" t="s">
        <v>262</v>
      </c>
      <c r="C44" s="111" t="s">
        <v>263</v>
      </c>
      <c r="D44" s="111">
        <v>164</v>
      </c>
      <c r="E44" s="112">
        <f t="shared" si="0"/>
        <v>1016.8000000000001</v>
      </c>
      <c r="F44" s="113">
        <f t="shared" si="1"/>
        <v>6.2</v>
      </c>
      <c r="G44" s="113">
        <v>6.93</v>
      </c>
      <c r="H44" s="113">
        <v>5.6</v>
      </c>
      <c r="I44" s="113">
        <v>6.06</v>
      </c>
      <c r="J44" s="114">
        <f t="shared" si="2"/>
        <v>6.2</v>
      </c>
      <c r="K44" s="114">
        <f t="shared" si="3"/>
        <v>6.06</v>
      </c>
      <c r="L44" s="114">
        <f t="shared" si="4"/>
        <v>0.55150299686906101</v>
      </c>
      <c r="M44" s="115">
        <f t="shared" si="5"/>
        <v>8.895209626920339E-2</v>
      </c>
      <c r="N44" s="116">
        <f t="shared" si="6"/>
        <v>1.1886792452830188</v>
      </c>
      <c r="O44" s="116">
        <f t="shared" si="7"/>
        <v>0.86220169361046961</v>
      </c>
      <c r="P44" s="116">
        <f t="shared" si="8"/>
        <v>0.96727853152434162</v>
      </c>
    </row>
    <row r="45" spans="1:16" x14ac:dyDescent="0.2">
      <c r="A45" s="109">
        <v>35</v>
      </c>
      <c r="B45" s="110" t="s">
        <v>265</v>
      </c>
      <c r="C45" s="117" t="s">
        <v>266</v>
      </c>
      <c r="D45" s="117">
        <v>92</v>
      </c>
      <c r="E45" s="112">
        <f t="shared" si="0"/>
        <v>1880.48</v>
      </c>
      <c r="F45" s="113">
        <f>K46</f>
        <v>20.440000000000001</v>
      </c>
      <c r="G45" s="113">
        <v>14.5</v>
      </c>
      <c r="H45" s="113">
        <v>15</v>
      </c>
      <c r="I45" s="113">
        <v>8.9</v>
      </c>
      <c r="J45" s="114">
        <f t="shared" si="2"/>
        <v>12.8</v>
      </c>
      <c r="K45" s="114">
        <f t="shared" si="3"/>
        <v>14.5</v>
      </c>
      <c r="L45" s="114">
        <f t="shared" si="4"/>
        <v>2.7652606869274883</v>
      </c>
      <c r="M45" s="115">
        <f t="shared" si="5"/>
        <v>0.21603599116621</v>
      </c>
      <c r="N45" s="116">
        <f t="shared" si="6"/>
        <v>1.2133891213389123</v>
      </c>
      <c r="O45" s="116">
        <f t="shared" si="7"/>
        <v>1.2820512820512822</v>
      </c>
      <c r="P45" s="116">
        <f t="shared" si="8"/>
        <v>0.60338983050847461</v>
      </c>
    </row>
    <row r="46" spans="1:16" x14ac:dyDescent="0.2">
      <c r="A46" s="109">
        <v>36</v>
      </c>
      <c r="B46" s="110" t="s">
        <v>267</v>
      </c>
      <c r="C46" s="117" t="s">
        <v>222</v>
      </c>
      <c r="D46" s="117">
        <v>25</v>
      </c>
      <c r="E46" s="112">
        <f t="shared" si="0"/>
        <v>511.00000000000006</v>
      </c>
      <c r="F46" s="113">
        <f>K46</f>
        <v>20.440000000000001</v>
      </c>
      <c r="G46" s="113">
        <v>13.8</v>
      </c>
      <c r="H46" s="113">
        <v>22.43</v>
      </c>
      <c r="I46" s="113">
        <v>20.440000000000001</v>
      </c>
      <c r="J46" s="114">
        <f t="shared" si="2"/>
        <v>18.89</v>
      </c>
      <c r="K46" s="114">
        <f t="shared" si="3"/>
        <v>20.440000000000001</v>
      </c>
      <c r="L46" s="114">
        <f t="shared" si="4"/>
        <v>3.6897244702913361</v>
      </c>
      <c r="M46" s="115">
        <f t="shared" si="5"/>
        <v>0.19532686449398284</v>
      </c>
      <c r="N46" s="116">
        <f t="shared" si="6"/>
        <v>0.64380685794261716</v>
      </c>
      <c r="O46" s="116">
        <f t="shared" si="7"/>
        <v>1.310163551401869</v>
      </c>
      <c r="P46" s="116">
        <f t="shared" si="8"/>
        <v>1.1283466740270494</v>
      </c>
    </row>
    <row r="47" spans="1:16" ht="28.5" x14ac:dyDescent="0.2">
      <c r="A47" s="109">
        <v>37</v>
      </c>
      <c r="B47" s="110" t="s">
        <v>269</v>
      </c>
      <c r="C47" s="117" t="s">
        <v>222</v>
      </c>
      <c r="D47" s="117">
        <v>25</v>
      </c>
      <c r="E47" s="112">
        <f t="shared" si="0"/>
        <v>337.5</v>
      </c>
      <c r="F47" s="113">
        <f t="shared" si="1"/>
        <v>13.5</v>
      </c>
      <c r="G47" s="113">
        <v>14.29</v>
      </c>
      <c r="H47" s="113">
        <v>12.7</v>
      </c>
      <c r="I47" s="113">
        <v>13.5</v>
      </c>
      <c r="J47" s="114">
        <f t="shared" si="2"/>
        <v>13.5</v>
      </c>
      <c r="K47" s="114">
        <f t="shared" si="3"/>
        <v>13.5</v>
      </c>
      <c r="L47" s="114">
        <f t="shared" si="4"/>
        <v>0.64911906115562146</v>
      </c>
      <c r="M47" s="115">
        <f t="shared" si="5"/>
        <v>4.8082893418934923E-2</v>
      </c>
      <c r="N47" s="116">
        <f t="shared" si="6"/>
        <v>1.0908396946564884</v>
      </c>
      <c r="O47" s="116">
        <f t="shared" si="7"/>
        <v>0.91399784094998193</v>
      </c>
      <c r="P47" s="116">
        <f t="shared" si="8"/>
        <v>1.0003705075954057</v>
      </c>
    </row>
    <row r="48" spans="1:16" ht="28.5" x14ac:dyDescent="0.2">
      <c r="A48" s="109">
        <v>38</v>
      </c>
      <c r="B48" s="110" t="s">
        <v>270</v>
      </c>
      <c r="C48" s="117" t="s">
        <v>220</v>
      </c>
      <c r="D48" s="117">
        <v>25</v>
      </c>
      <c r="E48" s="112">
        <f t="shared" si="0"/>
        <v>25554.25</v>
      </c>
      <c r="F48" s="113">
        <f t="shared" si="1"/>
        <v>1022.17</v>
      </c>
      <c r="G48" s="121">
        <v>1092</v>
      </c>
      <c r="H48" s="121">
        <v>975.5</v>
      </c>
      <c r="I48" s="121">
        <v>999</v>
      </c>
      <c r="J48" s="114">
        <f t="shared" si="2"/>
        <v>1022.17</v>
      </c>
      <c r="K48" s="114">
        <f t="shared" si="3"/>
        <v>999</v>
      </c>
      <c r="L48" s="114">
        <f t="shared" si="4"/>
        <v>50.302970974773338</v>
      </c>
      <c r="M48" s="115">
        <f t="shared" si="5"/>
        <v>4.9211942215847987E-2</v>
      </c>
      <c r="N48" s="116">
        <f t="shared" si="6"/>
        <v>1.106102810838187</v>
      </c>
      <c r="O48" s="116">
        <f t="shared" si="7"/>
        <v>0.93304638928742234</v>
      </c>
      <c r="P48" s="116">
        <f t="shared" si="8"/>
        <v>0.96638452237001204</v>
      </c>
    </row>
    <row r="49" spans="1:16" x14ac:dyDescent="0.2">
      <c r="A49" s="109">
        <v>39</v>
      </c>
      <c r="B49" s="110" t="s">
        <v>271</v>
      </c>
      <c r="C49" s="117" t="s">
        <v>220</v>
      </c>
      <c r="D49" s="117">
        <v>46</v>
      </c>
      <c r="E49" s="112">
        <f t="shared" si="0"/>
        <v>1427.84</v>
      </c>
      <c r="F49" s="113">
        <f t="shared" si="1"/>
        <v>31.04</v>
      </c>
      <c r="G49" s="113">
        <v>29.44</v>
      </c>
      <c r="H49" s="113">
        <v>33.93</v>
      </c>
      <c r="I49" s="113">
        <v>29.75</v>
      </c>
      <c r="J49" s="114">
        <f t="shared" si="2"/>
        <v>31.04</v>
      </c>
      <c r="K49" s="114">
        <f t="shared" si="3"/>
        <v>29.75</v>
      </c>
      <c r="L49" s="114">
        <f t="shared" si="4"/>
        <v>2.0474537031802855</v>
      </c>
      <c r="M49" s="115">
        <f t="shared" si="5"/>
        <v>6.5961781674622605E-2</v>
      </c>
      <c r="N49" s="116">
        <f t="shared" si="6"/>
        <v>0.92462311557788945</v>
      </c>
      <c r="O49" s="116">
        <f t="shared" si="7"/>
        <v>1.1464774455144451</v>
      </c>
      <c r="P49" s="116">
        <f t="shared" si="8"/>
        <v>0.93893009310399234</v>
      </c>
    </row>
    <row r="50" spans="1:16" x14ac:dyDescent="0.2">
      <c r="A50" s="109">
        <v>40</v>
      </c>
      <c r="B50" s="110" t="s">
        <v>276</v>
      </c>
      <c r="C50" s="111" t="s">
        <v>220</v>
      </c>
      <c r="D50" s="111">
        <v>138</v>
      </c>
      <c r="E50" s="112">
        <f t="shared" si="0"/>
        <v>469.2</v>
      </c>
      <c r="F50" s="113">
        <f>K50</f>
        <v>3.4</v>
      </c>
      <c r="G50" s="94">
        <v>2.5</v>
      </c>
      <c r="H50" s="113">
        <v>3.4</v>
      </c>
      <c r="I50" s="113">
        <v>4</v>
      </c>
      <c r="J50" s="114">
        <f t="shared" si="2"/>
        <v>3.3</v>
      </c>
      <c r="K50" s="114">
        <f t="shared" si="3"/>
        <v>3.4</v>
      </c>
      <c r="L50" s="114">
        <f t="shared" si="4"/>
        <v>0.61644140029689776</v>
      </c>
      <c r="M50" s="115">
        <f t="shared" si="5"/>
        <v>0.18680042433239327</v>
      </c>
      <c r="N50" s="116">
        <f t="shared" si="6"/>
        <v>0.67567567567567566</v>
      </c>
      <c r="O50" s="116">
        <f t="shared" si="7"/>
        <v>1.0461538461538462</v>
      </c>
      <c r="P50" s="116">
        <f t="shared" si="8"/>
        <v>1.3559322033898304</v>
      </c>
    </row>
    <row r="51" spans="1:16" x14ac:dyDescent="0.2">
      <c r="A51" s="109">
        <v>41</v>
      </c>
      <c r="B51" s="110" t="s">
        <v>277</v>
      </c>
      <c r="C51" s="111" t="s">
        <v>278</v>
      </c>
      <c r="D51" s="111">
        <v>204</v>
      </c>
      <c r="E51" s="112">
        <f t="shared" si="0"/>
        <v>840.48</v>
      </c>
      <c r="F51" s="113">
        <f t="shared" si="1"/>
        <v>4.12</v>
      </c>
      <c r="G51" s="113">
        <v>4.0999999999999996</v>
      </c>
      <c r="H51" s="113">
        <v>4.17</v>
      </c>
      <c r="I51" s="113">
        <v>4.09</v>
      </c>
      <c r="J51" s="114">
        <f t="shared" si="2"/>
        <v>4.12</v>
      </c>
      <c r="K51" s="114">
        <f t="shared" si="3"/>
        <v>4.0999999999999996</v>
      </c>
      <c r="L51" s="114">
        <f t="shared" si="4"/>
        <v>3.5590260840104443E-2</v>
      </c>
      <c r="M51" s="115">
        <f t="shared" si="5"/>
        <v>8.638412825268069E-3</v>
      </c>
      <c r="N51" s="116">
        <f t="shared" si="6"/>
        <v>0.99273607748184012</v>
      </c>
      <c r="O51" s="116">
        <f t="shared" si="7"/>
        <v>1.0183150183150182</v>
      </c>
      <c r="P51" s="116">
        <f t="shared" si="8"/>
        <v>0.98911729141475213</v>
      </c>
    </row>
    <row r="52" spans="1:16" x14ac:dyDescent="0.2">
      <c r="A52" s="109">
        <v>42</v>
      </c>
      <c r="B52" s="110" t="s">
        <v>279</v>
      </c>
      <c r="C52" s="117" t="s">
        <v>220</v>
      </c>
      <c r="D52" s="117">
        <v>117</v>
      </c>
      <c r="E52" s="112">
        <f t="shared" si="0"/>
        <v>926.64</v>
      </c>
      <c r="F52" s="113">
        <f t="shared" si="1"/>
        <v>7.92</v>
      </c>
      <c r="G52" s="113">
        <v>8.2799999999999994</v>
      </c>
      <c r="H52" s="113">
        <v>8</v>
      </c>
      <c r="I52" s="113">
        <v>7.47</v>
      </c>
      <c r="J52" s="114">
        <f t="shared" si="2"/>
        <v>7.92</v>
      </c>
      <c r="K52" s="114">
        <f t="shared" si="3"/>
        <v>8</v>
      </c>
      <c r="L52" s="114">
        <f t="shared" si="4"/>
        <v>0.33589019369761625</v>
      </c>
      <c r="M52" s="115">
        <f t="shared" si="5"/>
        <v>4.2410377992123265E-2</v>
      </c>
      <c r="N52" s="116">
        <f t="shared" si="6"/>
        <v>1.070458952811894</v>
      </c>
      <c r="O52" s="116">
        <f t="shared" si="7"/>
        <v>1.0158730158730158</v>
      </c>
      <c r="P52" s="116">
        <f t="shared" si="8"/>
        <v>0.91769041769041759</v>
      </c>
    </row>
    <row r="53" spans="1:16" x14ac:dyDescent="0.2">
      <c r="A53" s="109">
        <v>43</v>
      </c>
      <c r="B53" s="110" t="s">
        <v>280</v>
      </c>
      <c r="C53" s="117" t="s">
        <v>218</v>
      </c>
      <c r="D53" s="117">
        <v>21</v>
      </c>
      <c r="E53" s="112">
        <f t="shared" si="0"/>
        <v>107.73</v>
      </c>
      <c r="F53" s="113">
        <f>K53</f>
        <v>5.13</v>
      </c>
      <c r="G53" s="113">
        <v>4.3499999999999996</v>
      </c>
      <c r="H53" s="113">
        <v>7.23</v>
      </c>
      <c r="I53" s="113">
        <v>5.13</v>
      </c>
      <c r="J53" s="114">
        <f t="shared" si="2"/>
        <v>5.57</v>
      </c>
      <c r="K53" s="114">
        <f t="shared" si="3"/>
        <v>5.13</v>
      </c>
      <c r="L53" s="114">
        <f t="shared" si="4"/>
        <v>1.2162236636408634</v>
      </c>
      <c r="M53" s="115">
        <f t="shared" si="5"/>
        <v>0.21835254284396111</v>
      </c>
      <c r="N53" s="116">
        <f t="shared" si="6"/>
        <v>0.70388349514563109</v>
      </c>
      <c r="O53" s="116">
        <f t="shared" si="7"/>
        <v>1.5253164556962024</v>
      </c>
      <c r="P53" s="116">
        <f t="shared" si="8"/>
        <v>0.88601036269430045</v>
      </c>
    </row>
    <row r="54" spans="1:16" x14ac:dyDescent="0.2">
      <c r="A54" s="109">
        <v>44</v>
      </c>
      <c r="B54" s="110" t="s">
        <v>281</v>
      </c>
      <c r="C54" s="111" t="s">
        <v>251</v>
      </c>
      <c r="D54" s="111">
        <v>64</v>
      </c>
      <c r="E54" s="112">
        <f t="shared" si="0"/>
        <v>1672.96</v>
      </c>
      <c r="F54" s="113">
        <f t="shared" si="1"/>
        <v>26.14</v>
      </c>
      <c r="G54" s="113">
        <v>26.31</v>
      </c>
      <c r="H54" s="113">
        <v>30</v>
      </c>
      <c r="I54" s="113">
        <v>22.1</v>
      </c>
      <c r="J54" s="114">
        <f t="shared" si="2"/>
        <v>26.14</v>
      </c>
      <c r="K54" s="114">
        <f t="shared" si="3"/>
        <v>26.31</v>
      </c>
      <c r="L54" s="114">
        <f t="shared" si="4"/>
        <v>3.2274895644895638</v>
      </c>
      <c r="M54" s="115">
        <f t="shared" si="5"/>
        <v>0.12346937890166655</v>
      </c>
      <c r="N54" s="116">
        <f t="shared" si="6"/>
        <v>1.0099808061420346</v>
      </c>
      <c r="O54" s="116">
        <f t="shared" si="7"/>
        <v>1.239413344350341</v>
      </c>
      <c r="P54" s="116">
        <f t="shared" si="8"/>
        <v>0.78494050790268155</v>
      </c>
    </row>
    <row r="55" spans="1:16" x14ac:dyDescent="0.2">
      <c r="A55" s="109">
        <v>45</v>
      </c>
      <c r="B55" s="110" t="s">
        <v>282</v>
      </c>
      <c r="C55" s="117" t="s">
        <v>220</v>
      </c>
      <c r="D55" s="117">
        <v>10</v>
      </c>
      <c r="E55" s="112">
        <f t="shared" si="0"/>
        <v>341</v>
      </c>
      <c r="F55" s="113">
        <f t="shared" si="1"/>
        <v>34.1</v>
      </c>
      <c r="G55" s="113">
        <v>28.75</v>
      </c>
      <c r="H55" s="113">
        <v>59.29</v>
      </c>
      <c r="I55" s="113">
        <v>34.1</v>
      </c>
      <c r="J55" s="114">
        <f t="shared" si="2"/>
        <v>40.71</v>
      </c>
      <c r="K55" s="114">
        <f t="shared" si="3"/>
        <v>34.1</v>
      </c>
      <c r="L55" s="114">
        <f t="shared" si="4"/>
        <v>13.316031273952813</v>
      </c>
      <c r="M55" s="115">
        <f t="shared" si="5"/>
        <v>0.32709484829164365</v>
      </c>
      <c r="N55" s="116">
        <f t="shared" si="6"/>
        <v>0.61569761216404328</v>
      </c>
      <c r="O55" s="116">
        <f t="shared" si="7"/>
        <v>1.886714399363564</v>
      </c>
      <c r="P55" s="116">
        <f t="shared" si="8"/>
        <v>0.77464788732394374</v>
      </c>
    </row>
    <row r="56" spans="1:16" x14ac:dyDescent="0.2">
      <c r="A56" s="109">
        <v>46</v>
      </c>
      <c r="B56" s="110" t="s">
        <v>283</v>
      </c>
      <c r="C56" s="111" t="s">
        <v>284</v>
      </c>
      <c r="D56" s="111">
        <v>38</v>
      </c>
      <c r="E56" s="112">
        <f t="shared" si="0"/>
        <v>1900</v>
      </c>
      <c r="F56" s="113">
        <f>K56</f>
        <v>50</v>
      </c>
      <c r="G56" s="113">
        <v>49.27</v>
      </c>
      <c r="H56" s="113">
        <v>50</v>
      </c>
      <c r="I56" s="113">
        <v>67.260000000000005</v>
      </c>
      <c r="J56" s="114">
        <f t="shared" si="2"/>
        <v>55.51</v>
      </c>
      <c r="K56" s="114">
        <f t="shared" si="3"/>
        <v>50</v>
      </c>
      <c r="L56" s="114">
        <f t="shared" si="4"/>
        <v>8.3138478857064477</v>
      </c>
      <c r="M56" s="115">
        <f t="shared" si="5"/>
        <v>0.14977207504425236</v>
      </c>
      <c r="N56" s="116">
        <f t="shared" si="6"/>
        <v>0.84035476718403546</v>
      </c>
      <c r="O56" s="116">
        <f t="shared" si="7"/>
        <v>0.85814811636488453</v>
      </c>
      <c r="P56" s="116">
        <f t="shared" si="8"/>
        <v>1.3550921728618919</v>
      </c>
    </row>
    <row r="57" spans="1:16" x14ac:dyDescent="0.2">
      <c r="A57" s="109">
        <v>47</v>
      </c>
      <c r="B57" s="110" t="s">
        <v>285</v>
      </c>
      <c r="C57" s="111" t="s">
        <v>284</v>
      </c>
      <c r="D57" s="111">
        <v>38</v>
      </c>
      <c r="E57" s="112">
        <f t="shared" si="0"/>
        <v>726.56000000000006</v>
      </c>
      <c r="F57" s="113">
        <f t="shared" ref="F57:F58" si="11">K57</f>
        <v>19.12</v>
      </c>
      <c r="G57" s="113">
        <v>19.12</v>
      </c>
      <c r="H57" s="113">
        <v>14.4</v>
      </c>
      <c r="I57" s="113">
        <v>21.4</v>
      </c>
      <c r="J57" s="114">
        <f t="shared" si="2"/>
        <v>18.309999999999999</v>
      </c>
      <c r="K57" s="114">
        <f t="shared" si="3"/>
        <v>19.12</v>
      </c>
      <c r="L57" s="114">
        <f t="shared" si="4"/>
        <v>2.9150338286582991</v>
      </c>
      <c r="M57" s="115">
        <f t="shared" si="5"/>
        <v>0.15920446906926811</v>
      </c>
      <c r="N57" s="116">
        <f t="shared" si="6"/>
        <v>1.0681564245810058</v>
      </c>
      <c r="O57" s="116">
        <f t="shared" si="7"/>
        <v>0.71076011846001985</v>
      </c>
      <c r="P57" s="116">
        <f t="shared" si="8"/>
        <v>1.276849642004773</v>
      </c>
    </row>
    <row r="58" spans="1:16" x14ac:dyDescent="0.2">
      <c r="A58" s="109">
        <v>48</v>
      </c>
      <c r="B58" s="110" t="s">
        <v>286</v>
      </c>
      <c r="C58" s="111" t="s">
        <v>284</v>
      </c>
      <c r="D58" s="111">
        <v>38</v>
      </c>
      <c r="E58" s="112">
        <f t="shared" si="0"/>
        <v>758.1</v>
      </c>
      <c r="F58" s="113">
        <f t="shared" si="11"/>
        <v>19.95</v>
      </c>
      <c r="G58" s="113">
        <v>25.9</v>
      </c>
      <c r="H58" s="113">
        <v>14</v>
      </c>
      <c r="I58" s="113">
        <v>19.95</v>
      </c>
      <c r="J58" s="114">
        <f t="shared" si="2"/>
        <v>19.95</v>
      </c>
      <c r="K58" s="114">
        <f t="shared" si="3"/>
        <v>19.95</v>
      </c>
      <c r="L58" s="114">
        <f t="shared" si="4"/>
        <v>4.8581546565199796</v>
      </c>
      <c r="M58" s="115">
        <f t="shared" si="5"/>
        <v>0.24351652413633984</v>
      </c>
      <c r="N58" s="116">
        <f t="shared" si="6"/>
        <v>1.5257731958762883</v>
      </c>
      <c r="O58" s="116">
        <f t="shared" si="7"/>
        <v>0.61068702290076349</v>
      </c>
      <c r="P58" s="116">
        <f t="shared" si="8"/>
        <v>1</v>
      </c>
    </row>
    <row r="59" spans="1:16" ht="28.5" x14ac:dyDescent="0.2">
      <c r="A59" s="109">
        <v>49</v>
      </c>
      <c r="B59" s="110" t="s">
        <v>287</v>
      </c>
      <c r="C59" s="111" t="s">
        <v>249</v>
      </c>
      <c r="D59" s="124">
        <v>1472</v>
      </c>
      <c r="E59" s="112">
        <f t="shared" ref="E59:E60" si="12">D59*F59</f>
        <v>43880.32</v>
      </c>
      <c r="F59" s="113">
        <f t="shared" ref="F59:F60" si="13">IF(M59&lt;25%,J59,K59)</f>
        <v>29.81</v>
      </c>
      <c r="G59" s="113">
        <v>28.75</v>
      </c>
      <c r="H59" s="113">
        <v>28</v>
      </c>
      <c r="I59" s="113">
        <v>32.67</v>
      </c>
      <c r="J59" s="114">
        <f t="shared" ref="J59:J60" si="14">ROUND(AVERAGE(G59:I59),2)</f>
        <v>29.81</v>
      </c>
      <c r="K59" s="114">
        <f t="shared" ref="K59:K60" si="15">MEDIAN(G59:I59)</f>
        <v>28.75</v>
      </c>
      <c r="L59" s="114">
        <f t="shared" ref="L59:L60" si="16">_xlfn.STDEV.P(G59:I59)</f>
        <v>2.0477033205249464</v>
      </c>
      <c r="M59" s="115">
        <f t="shared" ref="M59:M60" si="17">L59/J59</f>
        <v>6.8691825579501722E-2</v>
      </c>
      <c r="N59" s="116">
        <f t="shared" ref="N59:N60" si="18">G59/AVERAGE(H59:I59)</f>
        <v>0.94775012361958133</v>
      </c>
      <c r="O59" s="116">
        <f t="shared" ref="O59:O60" si="19">H59/AVERAGE(G59,I59)</f>
        <v>0.91175512862259844</v>
      </c>
      <c r="P59" s="116">
        <f t="shared" ref="P59:P60" si="20">I59/AVERAGE(G59:H59)</f>
        <v>1.1513656387665199</v>
      </c>
    </row>
    <row r="60" spans="1:16" ht="28.5" x14ac:dyDescent="0.2">
      <c r="A60" s="109">
        <v>51</v>
      </c>
      <c r="B60" s="110" t="s">
        <v>294</v>
      </c>
      <c r="C60" s="111" t="s">
        <v>222</v>
      </c>
      <c r="D60" s="111">
        <v>120</v>
      </c>
      <c r="E60" s="112">
        <f t="shared" si="12"/>
        <v>1796.4</v>
      </c>
      <c r="F60" s="113">
        <f t="shared" si="13"/>
        <v>14.97</v>
      </c>
      <c r="G60" s="113">
        <v>14.98</v>
      </c>
      <c r="H60" s="113">
        <v>14.95</v>
      </c>
      <c r="I60" s="113">
        <v>14.98</v>
      </c>
      <c r="J60" s="114">
        <f t="shared" si="14"/>
        <v>14.97</v>
      </c>
      <c r="K60" s="114">
        <f t="shared" si="15"/>
        <v>14.98</v>
      </c>
      <c r="L60" s="114">
        <f t="shared" si="16"/>
        <v>1.4142135623731487E-2</v>
      </c>
      <c r="M60" s="115">
        <f t="shared" si="17"/>
        <v>9.4469843845901714E-4</v>
      </c>
      <c r="N60" s="116">
        <f t="shared" si="18"/>
        <v>1.0010023387905111</v>
      </c>
      <c r="O60" s="116">
        <f t="shared" si="19"/>
        <v>0.99799732977303068</v>
      </c>
      <c r="P60" s="116">
        <f t="shared" si="20"/>
        <v>1.0010023387905111</v>
      </c>
    </row>
    <row r="61" spans="1:16" ht="25.5" customHeight="1" x14ac:dyDescent="0.2">
      <c r="A61" s="95"/>
      <c r="B61" s="200" t="s">
        <v>95</v>
      </c>
      <c r="C61" s="200"/>
      <c r="D61" s="200"/>
      <c r="E61" s="125">
        <f>SUM(E11:E60)</f>
        <v>130547.79999999999</v>
      </c>
      <c r="F61" s="126"/>
      <c r="G61" s="126"/>
      <c r="H61" s="126"/>
      <c r="I61" s="126"/>
      <c r="J61" s="127"/>
      <c r="K61" s="127"/>
      <c r="L61" s="127"/>
      <c r="M61" s="128"/>
    </row>
    <row r="62" spans="1:16" x14ac:dyDescent="0.2">
      <c r="C62" s="129"/>
      <c r="D62" s="129"/>
      <c r="E62" s="129"/>
      <c r="F62" s="129"/>
      <c r="J62" s="127"/>
      <c r="K62" s="127"/>
      <c r="L62" s="127"/>
    </row>
    <row r="63" spans="1:16" ht="36" customHeight="1" x14ac:dyDescent="0.2">
      <c r="A63" s="201" t="s">
        <v>295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199" t="s">
        <v>204</v>
      </c>
      <c r="O63" s="199"/>
      <c r="P63" s="199"/>
    </row>
    <row r="64" spans="1:16" ht="28.5" x14ac:dyDescent="0.2">
      <c r="A64" s="131" t="s">
        <v>24</v>
      </c>
      <c r="B64" s="131" t="s">
        <v>45</v>
      </c>
      <c r="C64" s="132" t="s">
        <v>206</v>
      </c>
      <c r="D64" s="132" t="s">
        <v>207</v>
      </c>
      <c r="E64" s="131" t="s">
        <v>208</v>
      </c>
      <c r="F64" s="131" t="s">
        <v>209</v>
      </c>
      <c r="G64" s="133" t="s">
        <v>210</v>
      </c>
      <c r="H64" s="133" t="s">
        <v>211</v>
      </c>
      <c r="I64" s="133" t="s">
        <v>212</v>
      </c>
      <c r="J64" s="134" t="s">
        <v>213</v>
      </c>
      <c r="K64" s="134" t="s">
        <v>214</v>
      </c>
      <c r="L64" s="134" t="s">
        <v>215</v>
      </c>
      <c r="M64" s="135" t="s">
        <v>216</v>
      </c>
      <c r="N64" s="108" t="s">
        <v>210</v>
      </c>
      <c r="O64" s="108" t="s">
        <v>211</v>
      </c>
      <c r="P64" s="108" t="s">
        <v>212</v>
      </c>
    </row>
    <row r="65" spans="1:16" ht="28.5" x14ac:dyDescent="0.2">
      <c r="A65" s="109">
        <v>1</v>
      </c>
      <c r="B65" s="110" t="s">
        <v>296</v>
      </c>
      <c r="C65" s="111" t="s">
        <v>220</v>
      </c>
      <c r="D65" s="111">
        <v>2</v>
      </c>
      <c r="E65" s="112">
        <f>'MÓDULO 5 - EQUIPAMENTOS'!L4</f>
        <v>16.2</v>
      </c>
      <c r="F65" s="113">
        <f t="shared" ref="F65:F83" si="21">IF(M65&lt;25%,J65,K65)</f>
        <v>486</v>
      </c>
      <c r="G65" s="113">
        <v>520</v>
      </c>
      <c r="H65" s="113">
        <v>422.91</v>
      </c>
      <c r="I65" s="113">
        <v>515.1</v>
      </c>
      <c r="J65" s="114">
        <f t="shared" ref="J65:J83" si="22">ROUND(AVERAGE(G65:I65),2)</f>
        <v>486</v>
      </c>
      <c r="K65" s="114">
        <f t="shared" ref="K65:K83" si="23">MEDIAN(G65:I65)</f>
        <v>515.1</v>
      </c>
      <c r="L65" s="114">
        <f t="shared" ref="L65:L83" si="24">_xlfn.STDEV.P(G65:I65)</f>
        <v>44.658549262400157</v>
      </c>
      <c r="M65" s="115">
        <f t="shared" ref="M65:M83" si="25">L65/J65</f>
        <v>9.1890019058436537E-2</v>
      </c>
      <c r="N65" s="116">
        <f t="shared" ref="N65:N83" si="26">G65/AVERAGE(H65:I65)</f>
        <v>1.1087301841131758</v>
      </c>
      <c r="O65" s="116">
        <f t="shared" ref="O65:O83" si="27">H65/AVERAGE(G65,I65)</f>
        <v>0.81713844073036435</v>
      </c>
      <c r="P65" s="116">
        <f t="shared" ref="P65:P83" si="28">I65/AVERAGE(G65:H65)</f>
        <v>1.0925751132133501</v>
      </c>
    </row>
    <row r="66" spans="1:16" ht="42.75" x14ac:dyDescent="0.2">
      <c r="A66" s="109">
        <v>2</v>
      </c>
      <c r="B66" s="110" t="s">
        <v>297</v>
      </c>
      <c r="C66" s="111" t="s">
        <v>220</v>
      </c>
      <c r="D66" s="111">
        <v>2</v>
      </c>
      <c r="E66" s="112">
        <f>'MÓDULO 5 - EQUIPAMENTOS'!L5</f>
        <v>116.01200000000001</v>
      </c>
      <c r="F66" s="113">
        <f t="shared" si="21"/>
        <v>3480.36</v>
      </c>
      <c r="G66" s="121">
        <v>3659.48</v>
      </c>
      <c r="H66" s="121">
        <v>3298.6</v>
      </c>
      <c r="I66" s="121">
        <v>3482.99</v>
      </c>
      <c r="J66" s="114">
        <f t="shared" si="22"/>
        <v>3480.36</v>
      </c>
      <c r="K66" s="114">
        <f t="shared" si="23"/>
        <v>3482.99</v>
      </c>
      <c r="L66" s="114">
        <f t="shared" si="24"/>
        <v>147.34040955857594</v>
      </c>
      <c r="M66" s="115">
        <f t="shared" si="25"/>
        <v>4.2334818685014174E-2</v>
      </c>
      <c r="N66" s="116">
        <f t="shared" si="26"/>
        <v>1.0792395293729051</v>
      </c>
      <c r="O66" s="116">
        <f t="shared" si="27"/>
        <v>0.92365806226697489</v>
      </c>
      <c r="P66" s="116">
        <f t="shared" si="28"/>
        <v>1.0011353706769683</v>
      </c>
    </row>
    <row r="67" spans="1:16" x14ac:dyDescent="0.2">
      <c r="A67" s="109">
        <v>3</v>
      </c>
      <c r="B67" s="110" t="s">
        <v>298</v>
      </c>
      <c r="C67" s="111" t="s">
        <v>220</v>
      </c>
      <c r="D67" s="111">
        <v>20</v>
      </c>
      <c r="E67" s="112">
        <f>'MÓDULO 5 - EQUIPAMENTOS'!L6</f>
        <v>3.061666666666667</v>
      </c>
      <c r="F67" s="113">
        <f t="shared" si="21"/>
        <v>18.37</v>
      </c>
      <c r="G67" s="113">
        <v>16.899999999999999</v>
      </c>
      <c r="H67" s="113">
        <v>19.2</v>
      </c>
      <c r="I67" s="113">
        <v>19</v>
      </c>
      <c r="J67" s="114">
        <f t="shared" si="22"/>
        <v>18.37</v>
      </c>
      <c r="K67" s="114">
        <f t="shared" si="23"/>
        <v>19</v>
      </c>
      <c r="L67" s="114">
        <f t="shared" si="24"/>
        <v>1.0402991022884829</v>
      </c>
      <c r="M67" s="115">
        <f t="shared" si="25"/>
        <v>5.6630326744065478E-2</v>
      </c>
      <c r="N67" s="116">
        <f t="shared" si="26"/>
        <v>0.88481675392670145</v>
      </c>
      <c r="O67" s="116">
        <f t="shared" si="27"/>
        <v>1.0696378830083566</v>
      </c>
      <c r="P67" s="116">
        <f t="shared" si="28"/>
        <v>1.0526315789473686</v>
      </c>
    </row>
    <row r="68" spans="1:16" x14ac:dyDescent="0.2">
      <c r="A68" s="109">
        <v>4</v>
      </c>
      <c r="B68" s="110" t="s">
        <v>299</v>
      </c>
      <c r="C68" s="111" t="s">
        <v>220</v>
      </c>
      <c r="D68" s="111">
        <v>3</v>
      </c>
      <c r="E68" s="112">
        <f>'MÓDULO 5 - EQUIPAMENTOS'!L7</f>
        <v>16.166499999999999</v>
      </c>
      <c r="F68" s="113">
        <f t="shared" si="21"/>
        <v>323.33</v>
      </c>
      <c r="G68" s="113">
        <v>350</v>
      </c>
      <c r="H68" s="113">
        <v>325</v>
      </c>
      <c r="I68" s="113">
        <v>295</v>
      </c>
      <c r="J68" s="114">
        <f t="shared" si="22"/>
        <v>323.33</v>
      </c>
      <c r="K68" s="114">
        <f t="shared" si="23"/>
        <v>325</v>
      </c>
      <c r="L68" s="114">
        <f t="shared" si="24"/>
        <v>22.484562605386735</v>
      </c>
      <c r="M68" s="115">
        <f t="shared" si="25"/>
        <v>6.9540601259971968E-2</v>
      </c>
      <c r="N68" s="116">
        <f t="shared" si="26"/>
        <v>1.1290322580645162</v>
      </c>
      <c r="O68" s="116">
        <f t="shared" si="27"/>
        <v>1.0077519379844961</v>
      </c>
      <c r="P68" s="116">
        <f t="shared" si="28"/>
        <v>0.87407407407407411</v>
      </c>
    </row>
    <row r="69" spans="1:16" ht="28.5" x14ac:dyDescent="0.2">
      <c r="A69" s="109">
        <v>5</v>
      </c>
      <c r="B69" s="110" t="s">
        <v>300</v>
      </c>
      <c r="C69" s="111" t="s">
        <v>220</v>
      </c>
      <c r="D69" s="111">
        <v>2</v>
      </c>
      <c r="E69" s="112">
        <f>'MÓDULO 5 - EQUIPAMENTOS'!L8</f>
        <v>29.923666666666673</v>
      </c>
      <c r="F69" s="113">
        <f t="shared" si="21"/>
        <v>897.71</v>
      </c>
      <c r="G69" s="113">
        <v>803.14</v>
      </c>
      <c r="H69" s="113">
        <v>900</v>
      </c>
      <c r="I69" s="113">
        <v>990</v>
      </c>
      <c r="J69" s="114">
        <f t="shared" si="22"/>
        <v>897.71</v>
      </c>
      <c r="K69" s="114">
        <f t="shared" si="23"/>
        <v>900</v>
      </c>
      <c r="L69" s="114">
        <f t="shared" si="24"/>
        <v>76.302409456640945</v>
      </c>
      <c r="M69" s="115">
        <f t="shared" si="25"/>
        <v>8.4996724395006121E-2</v>
      </c>
      <c r="N69" s="116">
        <f t="shared" si="26"/>
        <v>0.84988359788359791</v>
      </c>
      <c r="O69" s="116">
        <f t="shared" si="27"/>
        <v>1.0038256912455248</v>
      </c>
      <c r="P69" s="116">
        <f t="shared" si="28"/>
        <v>1.1625585682915087</v>
      </c>
    </row>
    <row r="70" spans="1:16" ht="28.5" x14ac:dyDescent="0.2">
      <c r="A70" s="109">
        <v>6</v>
      </c>
      <c r="B70" s="110" t="s">
        <v>301</v>
      </c>
      <c r="C70" s="111" t="s">
        <v>220</v>
      </c>
      <c r="D70" s="111">
        <v>1</v>
      </c>
      <c r="E70" s="112">
        <f>'MÓDULO 5 - EQUIPAMENTOS'!L9</f>
        <v>31.421000000000003</v>
      </c>
      <c r="F70" s="113">
        <f t="shared" si="21"/>
        <v>1885.26</v>
      </c>
      <c r="G70" s="113">
        <v>2130.77</v>
      </c>
      <c r="H70" s="113">
        <v>1800</v>
      </c>
      <c r="I70" s="113">
        <v>1725</v>
      </c>
      <c r="J70" s="114">
        <f t="shared" si="22"/>
        <v>1885.26</v>
      </c>
      <c r="K70" s="114">
        <f t="shared" si="23"/>
        <v>1800</v>
      </c>
      <c r="L70" s="114">
        <f t="shared" si="24"/>
        <v>176.28357388657122</v>
      </c>
      <c r="M70" s="115">
        <f t="shared" si="25"/>
        <v>9.3506239927952234E-2</v>
      </c>
      <c r="N70" s="116">
        <f t="shared" si="26"/>
        <v>1.2089475177304965</v>
      </c>
      <c r="O70" s="116">
        <f t="shared" si="27"/>
        <v>0.93366564914401018</v>
      </c>
      <c r="P70" s="116">
        <f t="shared" si="28"/>
        <v>0.87769063058891772</v>
      </c>
    </row>
    <row r="71" spans="1:16" ht="57" x14ac:dyDescent="0.2">
      <c r="A71" s="109">
        <v>7</v>
      </c>
      <c r="B71" s="110" t="s">
        <v>302</v>
      </c>
      <c r="C71" s="111" t="s">
        <v>220</v>
      </c>
      <c r="D71" s="111">
        <v>1</v>
      </c>
      <c r="E71" s="112">
        <f>'MÓDULO 5 - EQUIPAMENTOS'!L10</f>
        <v>36.601666666666667</v>
      </c>
      <c r="F71" s="113">
        <f>K71</f>
        <v>2196.1</v>
      </c>
      <c r="G71" s="113">
        <v>2850</v>
      </c>
      <c r="H71" s="113">
        <v>2013.3</v>
      </c>
      <c r="I71" s="113">
        <v>2196.1</v>
      </c>
      <c r="J71" s="114">
        <f t="shared" si="22"/>
        <v>2353.13</v>
      </c>
      <c r="K71" s="114">
        <f t="shared" si="23"/>
        <v>2196.1</v>
      </c>
      <c r="L71" s="114">
        <f t="shared" si="24"/>
        <v>359.17620868995522</v>
      </c>
      <c r="M71" s="115">
        <f t="shared" si="25"/>
        <v>0.15263763952265927</v>
      </c>
      <c r="N71" s="116">
        <f t="shared" si="26"/>
        <v>1.3541122250201931</v>
      </c>
      <c r="O71" s="116">
        <f t="shared" si="27"/>
        <v>0.79796278313945412</v>
      </c>
      <c r="P71" s="116">
        <f t="shared" si="28"/>
        <v>0.90313161844837864</v>
      </c>
    </row>
    <row r="72" spans="1:16" ht="42.75" x14ac:dyDescent="0.2">
      <c r="A72" s="109">
        <v>8</v>
      </c>
      <c r="B72" s="110" t="s">
        <v>303</v>
      </c>
      <c r="C72" s="111" t="s">
        <v>220</v>
      </c>
      <c r="D72" s="111">
        <v>1</v>
      </c>
      <c r="E72" s="112">
        <f>'MÓDULO 5 - EQUIPAMENTOS'!L11</f>
        <v>45.833333333333336</v>
      </c>
      <c r="F72" s="113">
        <f t="shared" si="21"/>
        <v>2750</v>
      </c>
      <c r="G72" s="113">
        <v>2850</v>
      </c>
      <c r="H72" s="113">
        <v>2700</v>
      </c>
      <c r="I72" s="113">
        <v>2700</v>
      </c>
      <c r="J72" s="114">
        <f t="shared" si="22"/>
        <v>2750</v>
      </c>
      <c r="K72" s="114">
        <f t="shared" si="23"/>
        <v>2700</v>
      </c>
      <c r="L72" s="114">
        <f t="shared" si="24"/>
        <v>70.710678118654755</v>
      </c>
      <c r="M72" s="115">
        <f t="shared" si="25"/>
        <v>2.5712973861329001E-2</v>
      </c>
      <c r="N72" s="116">
        <f t="shared" si="26"/>
        <v>1.0555555555555556</v>
      </c>
      <c r="O72" s="116">
        <f t="shared" si="27"/>
        <v>0.97297297297297303</v>
      </c>
      <c r="P72" s="116">
        <f t="shared" si="28"/>
        <v>0.97297297297297303</v>
      </c>
    </row>
    <row r="73" spans="1:16" ht="57" x14ac:dyDescent="0.2">
      <c r="A73" s="109">
        <v>9</v>
      </c>
      <c r="B73" s="110" t="s">
        <v>304</v>
      </c>
      <c r="C73" s="111" t="s">
        <v>220</v>
      </c>
      <c r="D73" s="111">
        <v>1</v>
      </c>
      <c r="E73" s="112">
        <f>'MÓDULO 5 - EQUIPAMENTOS'!L12</f>
        <v>45.833333333333336</v>
      </c>
      <c r="F73" s="113">
        <f t="shared" si="21"/>
        <v>2750</v>
      </c>
      <c r="G73" s="113">
        <v>2850</v>
      </c>
      <c r="H73" s="113">
        <v>2700</v>
      </c>
      <c r="I73" s="113">
        <v>2700</v>
      </c>
      <c r="J73" s="114">
        <f t="shared" si="22"/>
        <v>2750</v>
      </c>
      <c r="K73" s="114">
        <f t="shared" si="23"/>
        <v>2700</v>
      </c>
      <c r="L73" s="114">
        <f t="shared" si="24"/>
        <v>70.710678118654755</v>
      </c>
      <c r="M73" s="115">
        <f t="shared" si="25"/>
        <v>2.5712973861329001E-2</v>
      </c>
      <c r="N73" s="116">
        <f t="shared" si="26"/>
        <v>1.0555555555555556</v>
      </c>
      <c r="O73" s="116">
        <f t="shared" si="27"/>
        <v>0.97297297297297303</v>
      </c>
      <c r="P73" s="116">
        <f t="shared" si="28"/>
        <v>0.97297297297297303</v>
      </c>
    </row>
    <row r="74" spans="1:16" ht="42.75" x14ac:dyDescent="0.2">
      <c r="A74" s="109">
        <v>10</v>
      </c>
      <c r="B74" s="110" t="s">
        <v>305</v>
      </c>
      <c r="C74" s="111" t="s">
        <v>220</v>
      </c>
      <c r="D74" s="111">
        <v>1</v>
      </c>
      <c r="E74" s="112">
        <f>'MÓDULO 5 - EQUIPAMENTOS'!L13</f>
        <v>52.521000000000008</v>
      </c>
      <c r="F74" s="113">
        <f t="shared" si="21"/>
        <v>3151.26</v>
      </c>
      <c r="G74" s="113">
        <v>3153.47</v>
      </c>
      <c r="H74" s="121">
        <v>3450.32</v>
      </c>
      <c r="I74" s="113">
        <v>2850</v>
      </c>
      <c r="J74" s="114">
        <f t="shared" si="22"/>
        <v>3151.26</v>
      </c>
      <c r="K74" s="114">
        <f t="shared" si="23"/>
        <v>3153.47</v>
      </c>
      <c r="L74" s="114">
        <f t="shared" si="24"/>
        <v>245.08458081967456</v>
      </c>
      <c r="M74" s="115">
        <f t="shared" si="25"/>
        <v>7.7773519423873158E-2</v>
      </c>
      <c r="N74" s="116">
        <f t="shared" si="26"/>
        <v>1.0010507402798587</v>
      </c>
      <c r="O74" s="116">
        <f t="shared" si="27"/>
        <v>1.1494419060976404</v>
      </c>
      <c r="P74" s="116">
        <f t="shared" si="28"/>
        <v>0.86314071162165973</v>
      </c>
    </row>
    <row r="75" spans="1:16" x14ac:dyDescent="0.2">
      <c r="A75" s="109">
        <v>11</v>
      </c>
      <c r="B75" s="122" t="s">
        <v>306</v>
      </c>
      <c r="C75" s="111" t="s">
        <v>220</v>
      </c>
      <c r="D75" s="111">
        <v>2</v>
      </c>
      <c r="E75" s="112">
        <f>'MÓDULO 5 - EQUIPAMENTOS'!L14</f>
        <v>4.9241666666666672</v>
      </c>
      <c r="F75" s="113">
        <f t="shared" si="21"/>
        <v>295.45</v>
      </c>
      <c r="G75" s="113">
        <v>292.35000000000002</v>
      </c>
      <c r="H75" s="113">
        <v>295</v>
      </c>
      <c r="I75" s="113">
        <v>299</v>
      </c>
      <c r="J75" s="114">
        <f t="shared" si="22"/>
        <v>295.45</v>
      </c>
      <c r="K75" s="114">
        <f t="shared" si="23"/>
        <v>295</v>
      </c>
      <c r="L75" s="114">
        <f t="shared" si="24"/>
        <v>2.7334349574604144</v>
      </c>
      <c r="M75" s="115">
        <f t="shared" si="25"/>
        <v>9.2517683447636296E-3</v>
      </c>
      <c r="N75" s="116">
        <f t="shared" si="26"/>
        <v>0.98434343434343441</v>
      </c>
      <c r="O75" s="116">
        <f t="shared" si="27"/>
        <v>0.99771708801893966</v>
      </c>
      <c r="P75" s="116">
        <f t="shared" si="28"/>
        <v>1.0181322890950881</v>
      </c>
    </row>
    <row r="76" spans="1:16" x14ac:dyDescent="0.2">
      <c r="A76" s="109">
        <v>12</v>
      </c>
      <c r="B76" s="110" t="s">
        <v>307</v>
      </c>
      <c r="C76" s="111" t="s">
        <v>220</v>
      </c>
      <c r="D76" s="111">
        <v>2</v>
      </c>
      <c r="E76" s="112">
        <f>'MÓDULO 5 - EQUIPAMENTOS'!L15</f>
        <v>5.9221666666666666</v>
      </c>
      <c r="F76" s="113">
        <f t="shared" si="21"/>
        <v>355.33</v>
      </c>
      <c r="G76" s="113">
        <v>355.33</v>
      </c>
      <c r="H76" s="113">
        <v>785</v>
      </c>
      <c r="I76" s="113">
        <v>261.66000000000003</v>
      </c>
      <c r="J76" s="114">
        <f t="shared" si="22"/>
        <v>467.33</v>
      </c>
      <c r="K76" s="114">
        <f t="shared" si="23"/>
        <v>355.33</v>
      </c>
      <c r="L76" s="114">
        <f t="shared" si="24"/>
        <v>227.85841934558104</v>
      </c>
      <c r="M76" s="115">
        <f t="shared" si="25"/>
        <v>0.48757498843554031</v>
      </c>
      <c r="N76" s="116">
        <f t="shared" si="26"/>
        <v>0.67897884699902544</v>
      </c>
      <c r="O76" s="116">
        <f t="shared" si="27"/>
        <v>2.5446117441125464</v>
      </c>
      <c r="P76" s="116">
        <f t="shared" si="28"/>
        <v>0.45891978637762759</v>
      </c>
    </row>
    <row r="77" spans="1:16" ht="42.75" x14ac:dyDescent="0.2">
      <c r="A77" s="109">
        <v>13</v>
      </c>
      <c r="B77" s="110" t="s">
        <v>308</v>
      </c>
      <c r="C77" s="111" t="s">
        <v>220</v>
      </c>
      <c r="D77" s="111">
        <v>2</v>
      </c>
      <c r="E77" s="112">
        <f>'MÓDULO 5 - EQUIPAMENTOS'!L16</f>
        <v>19.588000000000001</v>
      </c>
      <c r="F77" s="113">
        <f t="shared" si="21"/>
        <v>1175.28</v>
      </c>
      <c r="G77" s="113">
        <v>986</v>
      </c>
      <c r="H77" s="113">
        <v>1318</v>
      </c>
      <c r="I77" s="113">
        <v>1221.83</v>
      </c>
      <c r="J77" s="114">
        <f t="shared" si="22"/>
        <v>1175.28</v>
      </c>
      <c r="K77" s="114">
        <f t="shared" si="23"/>
        <v>1221.83</v>
      </c>
      <c r="L77" s="114">
        <f t="shared" si="24"/>
        <v>139.47857573437142</v>
      </c>
      <c r="M77" s="115">
        <f t="shared" si="25"/>
        <v>0.11867689038728764</v>
      </c>
      <c r="N77" s="116">
        <f t="shared" si="26"/>
        <v>0.77642991853785492</v>
      </c>
      <c r="O77" s="116">
        <f t="shared" si="27"/>
        <v>1.1939325038612574</v>
      </c>
      <c r="P77" s="116">
        <f t="shared" si="28"/>
        <v>1.0606163194444445</v>
      </c>
    </row>
    <row r="78" spans="1:16" x14ac:dyDescent="0.2">
      <c r="A78" s="109">
        <v>14</v>
      </c>
      <c r="B78" s="110" t="s">
        <v>309</v>
      </c>
      <c r="C78" s="111" t="s">
        <v>220</v>
      </c>
      <c r="D78" s="111">
        <v>2</v>
      </c>
      <c r="E78" s="112">
        <f>'MÓDULO 5 - EQUIPAMENTOS'!L17</f>
        <v>0.52500000000000002</v>
      </c>
      <c r="F78" s="113">
        <f>K78</f>
        <v>31.5</v>
      </c>
      <c r="G78" s="121">
        <v>22.9</v>
      </c>
      <c r="H78" s="121">
        <v>31.5</v>
      </c>
      <c r="I78" s="121">
        <v>35</v>
      </c>
      <c r="J78" s="114">
        <f t="shared" si="22"/>
        <v>29.8</v>
      </c>
      <c r="K78" s="114">
        <f t="shared" si="23"/>
        <v>31.5</v>
      </c>
      <c r="L78" s="114">
        <f t="shared" si="24"/>
        <v>5.083961709795477</v>
      </c>
      <c r="M78" s="115">
        <f t="shared" si="25"/>
        <v>0.17060274193944552</v>
      </c>
      <c r="N78" s="116">
        <f t="shared" si="26"/>
        <v>0.68872180451127818</v>
      </c>
      <c r="O78" s="116">
        <f t="shared" si="27"/>
        <v>1.0880829015544042</v>
      </c>
      <c r="P78" s="116">
        <f t="shared" si="28"/>
        <v>1.286764705882353</v>
      </c>
    </row>
    <row r="79" spans="1:16" x14ac:dyDescent="0.2">
      <c r="A79" s="109">
        <v>15</v>
      </c>
      <c r="B79" s="110" t="s">
        <v>310</v>
      </c>
      <c r="C79" s="111" t="s">
        <v>220</v>
      </c>
      <c r="D79" s="111">
        <v>5</v>
      </c>
      <c r="E79" s="112">
        <f>'MÓDULO 5 - EQUIPAMENTOS'!L18</f>
        <v>3.73</v>
      </c>
      <c r="F79" s="113">
        <f t="shared" si="21"/>
        <v>89.52</v>
      </c>
      <c r="G79" s="113">
        <v>98</v>
      </c>
      <c r="H79" s="113">
        <v>80</v>
      </c>
      <c r="I79" s="113">
        <v>90.57</v>
      </c>
      <c r="J79" s="114">
        <f t="shared" si="22"/>
        <v>89.52</v>
      </c>
      <c r="K79" s="114">
        <f t="shared" si="23"/>
        <v>90.57</v>
      </c>
      <c r="L79" s="114">
        <f t="shared" si="24"/>
        <v>7.3856452362373561</v>
      </c>
      <c r="M79" s="115">
        <f t="shared" si="25"/>
        <v>8.2502739457521859E-2</v>
      </c>
      <c r="N79" s="116">
        <f t="shared" si="26"/>
        <v>1.1490883508237089</v>
      </c>
      <c r="O79" s="116">
        <f t="shared" si="27"/>
        <v>0.84849127644906408</v>
      </c>
      <c r="P79" s="116">
        <f t="shared" si="28"/>
        <v>1.0176404494382021</v>
      </c>
    </row>
    <row r="80" spans="1:16" ht="57" x14ac:dyDescent="0.2">
      <c r="A80" s="109">
        <v>16</v>
      </c>
      <c r="B80" s="110" t="s">
        <v>311</v>
      </c>
      <c r="C80" s="111" t="s">
        <v>220</v>
      </c>
      <c r="D80" s="111">
        <v>4</v>
      </c>
      <c r="E80" s="112">
        <f>'MÓDULO 5 - EQUIPAMENTOS'!L19</f>
        <v>545.63099999999997</v>
      </c>
      <c r="F80" s="113">
        <f t="shared" si="21"/>
        <v>16368.93</v>
      </c>
      <c r="G80" s="113">
        <v>17300</v>
      </c>
      <c r="H80" s="113">
        <v>15780</v>
      </c>
      <c r="I80" s="113">
        <v>16026.8</v>
      </c>
      <c r="J80" s="114">
        <f t="shared" si="22"/>
        <v>16368.93</v>
      </c>
      <c r="K80" s="114">
        <f t="shared" si="23"/>
        <v>16026.8</v>
      </c>
      <c r="L80" s="114">
        <f t="shared" si="24"/>
        <v>666.02873478218316</v>
      </c>
      <c r="M80" s="115">
        <f t="shared" si="25"/>
        <v>4.0688593254548905E-2</v>
      </c>
      <c r="N80" s="116">
        <f t="shared" si="26"/>
        <v>1.0878176993598854</v>
      </c>
      <c r="O80" s="116">
        <f t="shared" si="27"/>
        <v>0.94698560917939911</v>
      </c>
      <c r="P80" s="116">
        <f t="shared" si="28"/>
        <v>0.96897218863361545</v>
      </c>
    </row>
    <row r="81" spans="1:16" ht="28.5" x14ac:dyDescent="0.2">
      <c r="A81" s="109">
        <v>17</v>
      </c>
      <c r="B81" s="110" t="s">
        <v>312</v>
      </c>
      <c r="C81" s="111" t="s">
        <v>220</v>
      </c>
      <c r="D81" s="111">
        <v>5</v>
      </c>
      <c r="E81" s="112">
        <f>'MÓDULO 5 - EQUIPAMENTOS'!L20</f>
        <v>2.940833333333333</v>
      </c>
      <c r="F81" s="113">
        <f t="shared" si="21"/>
        <v>35.29</v>
      </c>
      <c r="G81" s="113">
        <v>31.12</v>
      </c>
      <c r="H81" s="113">
        <v>38</v>
      </c>
      <c r="I81" s="113">
        <v>36.75</v>
      </c>
      <c r="J81" s="114">
        <f t="shared" si="22"/>
        <v>35.29</v>
      </c>
      <c r="K81" s="114">
        <f t="shared" si="23"/>
        <v>36.75</v>
      </c>
      <c r="L81" s="114">
        <f t="shared" si="24"/>
        <v>2.9924683234190907</v>
      </c>
      <c r="M81" s="115">
        <f t="shared" si="25"/>
        <v>8.479649542134006E-2</v>
      </c>
      <c r="N81" s="116">
        <f t="shared" si="26"/>
        <v>0.83264214046822749</v>
      </c>
      <c r="O81" s="116">
        <f t="shared" si="27"/>
        <v>1.1197878296743775</v>
      </c>
      <c r="P81" s="116">
        <f t="shared" si="28"/>
        <v>1.0633680555555556</v>
      </c>
    </row>
    <row r="82" spans="1:16" ht="28.5" x14ac:dyDescent="0.2">
      <c r="A82" s="109">
        <v>18</v>
      </c>
      <c r="B82" s="110" t="s">
        <v>313</v>
      </c>
      <c r="C82" s="111" t="s">
        <v>220</v>
      </c>
      <c r="D82" s="111">
        <v>5</v>
      </c>
      <c r="E82" s="112">
        <f>'MÓDULO 5 - EQUIPAMENTOS'!L21</f>
        <v>4.3333333333333339</v>
      </c>
      <c r="F82" s="113">
        <f>K82</f>
        <v>52</v>
      </c>
      <c r="G82" s="113">
        <v>38.35</v>
      </c>
      <c r="H82" s="113">
        <v>63.59</v>
      </c>
      <c r="I82" s="113">
        <v>52</v>
      </c>
      <c r="J82" s="114">
        <f t="shared" si="22"/>
        <v>51.31</v>
      </c>
      <c r="K82" s="114">
        <f t="shared" si="23"/>
        <v>52</v>
      </c>
      <c r="L82" s="114">
        <f t="shared" si="24"/>
        <v>10.315620302348373</v>
      </c>
      <c r="M82" s="115">
        <f t="shared" si="25"/>
        <v>0.20104502635642901</v>
      </c>
      <c r="N82" s="116">
        <f t="shared" si="26"/>
        <v>0.66355221039882339</v>
      </c>
      <c r="O82" s="116">
        <f t="shared" si="27"/>
        <v>1.4076369673491977</v>
      </c>
      <c r="P82" s="116">
        <f t="shared" si="28"/>
        <v>1.0202079654698843</v>
      </c>
    </row>
    <row r="83" spans="1:16" ht="28.5" x14ac:dyDescent="0.2">
      <c r="A83" s="109">
        <v>19</v>
      </c>
      <c r="B83" s="136" t="s">
        <v>314</v>
      </c>
      <c r="C83" s="137" t="s">
        <v>220</v>
      </c>
      <c r="D83" s="137">
        <v>4</v>
      </c>
      <c r="E83" s="112">
        <f>'MÓDULO 5 - EQUIPAMENTOS'!L22</f>
        <v>34.072333333333333</v>
      </c>
      <c r="F83" s="113">
        <f t="shared" si="21"/>
        <v>1022.17</v>
      </c>
      <c r="G83" s="121">
        <v>1092</v>
      </c>
      <c r="H83" s="121">
        <v>975.5</v>
      </c>
      <c r="I83" s="121">
        <v>999</v>
      </c>
      <c r="J83" s="114">
        <f t="shared" si="22"/>
        <v>1022.17</v>
      </c>
      <c r="K83" s="114">
        <f t="shared" si="23"/>
        <v>999</v>
      </c>
      <c r="L83" s="114">
        <f t="shared" si="24"/>
        <v>50.302970974773338</v>
      </c>
      <c r="M83" s="115">
        <f t="shared" si="25"/>
        <v>4.9211942215847987E-2</v>
      </c>
      <c r="N83" s="116">
        <f t="shared" si="26"/>
        <v>1.106102810838187</v>
      </c>
      <c r="O83" s="116">
        <f t="shared" si="27"/>
        <v>0.93304638928742234</v>
      </c>
      <c r="P83" s="116">
        <f t="shared" si="28"/>
        <v>0.96638452237001204</v>
      </c>
    </row>
    <row r="84" spans="1:16" ht="24.2" customHeight="1" x14ac:dyDescent="0.2">
      <c r="A84" s="138"/>
      <c r="B84" s="204" t="s">
        <v>95</v>
      </c>
      <c r="C84" s="204"/>
      <c r="D84" s="204"/>
      <c r="E84" s="125">
        <f>SUM(E65:E83)</f>
        <v>1015.241</v>
      </c>
      <c r="F84" s="126"/>
      <c r="G84" s="139"/>
      <c r="H84" s="139"/>
      <c r="I84" s="139"/>
      <c r="J84" s="127"/>
      <c r="K84" s="127"/>
      <c r="L84" s="127"/>
      <c r="M84" s="140"/>
    </row>
    <row r="85" spans="1:16" x14ac:dyDescent="0.2">
      <c r="A85" s="141"/>
      <c r="B85" s="142"/>
      <c r="C85" s="143"/>
      <c r="D85" s="143"/>
      <c r="E85" s="144"/>
      <c r="F85" s="126"/>
      <c r="G85" s="139"/>
      <c r="H85" s="139"/>
      <c r="I85" s="139"/>
      <c r="J85" s="127"/>
      <c r="K85" s="127"/>
      <c r="L85" s="127"/>
      <c r="M85" s="128"/>
    </row>
    <row r="86" spans="1:16" ht="33.200000000000003" customHeight="1" x14ac:dyDescent="0.2">
      <c r="A86" s="208" t="s">
        <v>315</v>
      </c>
      <c r="B86" s="208"/>
      <c r="C86" s="208"/>
      <c r="D86" s="208"/>
      <c r="E86" s="208"/>
      <c r="F86" s="208"/>
      <c r="G86" s="208"/>
      <c r="H86" s="208"/>
      <c r="I86" s="208"/>
      <c r="J86" s="205" t="s">
        <v>204</v>
      </c>
      <c r="K86" s="199"/>
      <c r="L86" s="199"/>
      <c r="M86" s="146"/>
      <c r="N86" s="93"/>
      <c r="O86" s="93"/>
      <c r="P86" s="93"/>
    </row>
    <row r="87" spans="1:16" ht="28.5" x14ac:dyDescent="0.2">
      <c r="A87" s="145" t="s">
        <v>24</v>
      </c>
      <c r="B87" s="147" t="s">
        <v>45</v>
      </c>
      <c r="C87" s="148" t="s">
        <v>210</v>
      </c>
      <c r="D87" s="148" t="s">
        <v>211</v>
      </c>
      <c r="E87" s="148" t="s">
        <v>212</v>
      </c>
      <c r="F87" s="149" t="s">
        <v>213</v>
      </c>
      <c r="G87" s="149" t="s">
        <v>214</v>
      </c>
      <c r="H87" s="149" t="s">
        <v>215</v>
      </c>
      <c r="I87" s="150" t="s">
        <v>216</v>
      </c>
      <c r="J87" s="108" t="s">
        <v>210</v>
      </c>
      <c r="K87" s="108" t="s">
        <v>211</v>
      </c>
      <c r="L87" s="108" t="s">
        <v>212</v>
      </c>
      <c r="N87" s="93"/>
      <c r="O87" s="93"/>
      <c r="P87" s="93"/>
    </row>
    <row r="88" spans="1:16" ht="28.5" x14ac:dyDescent="0.2">
      <c r="A88" s="109">
        <v>1</v>
      </c>
      <c r="B88" s="151" t="s">
        <v>316</v>
      </c>
      <c r="C88" s="152">
        <v>39</v>
      </c>
      <c r="D88" s="152">
        <v>36.5</v>
      </c>
      <c r="E88" s="152">
        <v>27.5</v>
      </c>
      <c r="F88" s="114">
        <f t="shared" ref="F88" si="29">ROUND(AVERAGE(C88:E88),2)</f>
        <v>34.33</v>
      </c>
      <c r="G88" s="114">
        <f t="shared" ref="G88:G91" si="30">MEDIAN(C88:E88)</f>
        <v>36.5</v>
      </c>
      <c r="H88" s="153">
        <f>_xlfn.STDEV.P(C88:E88)</f>
        <v>4.9385107966763515</v>
      </c>
      <c r="I88" s="115">
        <f>H88/F88</f>
        <v>0.14385408670772945</v>
      </c>
      <c r="J88" s="116">
        <f>C88/AVERAGE(D88:E88)</f>
        <v>1.21875</v>
      </c>
      <c r="K88" s="116">
        <f>D88/AVERAGE(C88,E88)</f>
        <v>1.0977443609022557</v>
      </c>
      <c r="L88" s="116">
        <f>E88/AVERAGE(C88:D88)</f>
        <v>0.72847682119205293</v>
      </c>
      <c r="N88" s="93"/>
      <c r="O88" s="93"/>
      <c r="P88" s="93"/>
    </row>
    <row r="89" spans="1:16" x14ac:dyDescent="0.2">
      <c r="A89" s="109">
        <v>2</v>
      </c>
      <c r="B89" s="151" t="s">
        <v>317</v>
      </c>
      <c r="C89" s="152">
        <v>54.7</v>
      </c>
      <c r="D89" s="152">
        <v>44.18</v>
      </c>
      <c r="E89" s="152">
        <v>44.99</v>
      </c>
      <c r="F89" s="114">
        <f t="shared" ref="F89:F91" si="31">AVERAGE(C89:E89)</f>
        <v>47.956666666666671</v>
      </c>
      <c r="G89" s="114">
        <f t="shared" si="30"/>
        <v>44.99</v>
      </c>
      <c r="H89" s="153">
        <f t="shared" ref="H89:H91" si="32">_xlfn.STDEV.P(C89:E89)</f>
        <v>4.7797094286391753</v>
      </c>
      <c r="I89" s="115">
        <f t="shared" ref="I89:I91" si="33">H89/F89</f>
        <v>9.9667257148241636E-2</v>
      </c>
      <c r="J89" s="116">
        <f>C89/AVERAGE(D89:E89)</f>
        <v>1.2268700235505214</v>
      </c>
      <c r="K89" s="116">
        <f>D89/AVERAGE(C89,E89)</f>
        <v>0.88634767780118373</v>
      </c>
      <c r="L89" s="116">
        <f>E89/AVERAGE(C89:D89)</f>
        <v>0.90999190938511332</v>
      </c>
      <c r="N89" s="93"/>
      <c r="O89" s="93"/>
      <c r="P89" s="93"/>
    </row>
    <row r="90" spans="1:16" x14ac:dyDescent="0.2">
      <c r="A90" s="109">
        <v>3</v>
      </c>
      <c r="B90" s="151" t="s">
        <v>318</v>
      </c>
      <c r="C90" s="152">
        <v>18</v>
      </c>
      <c r="D90" s="152">
        <v>18.420000000000002</v>
      </c>
      <c r="E90" s="152">
        <v>12.68</v>
      </c>
      <c r="F90" s="114">
        <f t="shared" si="31"/>
        <v>16.366666666666667</v>
      </c>
      <c r="G90" s="114">
        <f t="shared" si="30"/>
        <v>18</v>
      </c>
      <c r="H90" s="153">
        <f t="shared" si="32"/>
        <v>2.6124998670919655</v>
      </c>
      <c r="I90" s="115">
        <f t="shared" si="33"/>
        <v>0.15962320980195308</v>
      </c>
      <c r="J90" s="116">
        <f>C90/AVERAGE(D90:E90)</f>
        <v>1.157556270096463</v>
      </c>
      <c r="K90" s="116">
        <f>D90/AVERAGE(C90,E90)</f>
        <v>1.2007822685788789</v>
      </c>
      <c r="L90" s="116">
        <f>E90/AVERAGE(C90:D90)</f>
        <v>0.69632070291048864</v>
      </c>
      <c r="N90" s="93"/>
      <c r="O90" s="93"/>
      <c r="P90" s="93"/>
    </row>
    <row r="91" spans="1:16" x14ac:dyDescent="0.2">
      <c r="A91" s="109">
        <v>4</v>
      </c>
      <c r="B91" s="151" t="s">
        <v>319</v>
      </c>
      <c r="C91" s="152">
        <v>56.66</v>
      </c>
      <c r="D91" s="152">
        <v>45.9</v>
      </c>
      <c r="E91" s="152">
        <v>47.98</v>
      </c>
      <c r="F91" s="114">
        <f t="shared" si="31"/>
        <v>50.18</v>
      </c>
      <c r="G91" s="114">
        <f t="shared" si="30"/>
        <v>47.98</v>
      </c>
      <c r="H91" s="153">
        <f t="shared" si="32"/>
        <v>4.6600715302092368</v>
      </c>
      <c r="I91" s="115">
        <f t="shared" si="33"/>
        <v>9.2867109011742457E-2</v>
      </c>
      <c r="J91" s="116">
        <f>C91/AVERAGE(D91:E91)</f>
        <v>1.2070728589688964</v>
      </c>
      <c r="K91" s="116">
        <f>D91/AVERAGE(C91,E91)</f>
        <v>0.87729357798165142</v>
      </c>
      <c r="L91" s="116">
        <f>E91/AVERAGE(C91:D91)</f>
        <v>0.93564742589703576</v>
      </c>
      <c r="N91" s="93"/>
      <c r="O91" s="93"/>
      <c r="P91" s="93"/>
    </row>
    <row r="93" spans="1:16" ht="28.5" x14ac:dyDescent="0.2">
      <c r="A93" s="154" t="s">
        <v>24</v>
      </c>
      <c r="B93" s="155" t="s">
        <v>45</v>
      </c>
      <c r="C93" s="156" t="s">
        <v>207</v>
      </c>
      <c r="D93" s="157" t="s">
        <v>334</v>
      </c>
      <c r="E93" s="158" t="s">
        <v>335</v>
      </c>
    </row>
    <row r="94" spans="1:16" ht="28.5" x14ac:dyDescent="0.2">
      <c r="A94" s="159">
        <v>1</v>
      </c>
      <c r="B94" s="160" t="str">
        <f>B88</f>
        <v>Camisa de mangas curtas, tipo polo, em tecido 100% algodão, com emblema da empresa contratada.</v>
      </c>
      <c r="C94" s="161"/>
      <c r="D94" s="162">
        <v>2</v>
      </c>
      <c r="E94" s="163">
        <f>D94*G88</f>
        <v>73</v>
      </c>
    </row>
    <row r="95" spans="1:16" x14ac:dyDescent="0.2">
      <c r="A95" s="159">
        <v>2</v>
      </c>
      <c r="B95" s="160" t="str">
        <f t="shared" ref="B95:B97" si="34">B89</f>
        <v>Calça comprida, com cor escura, em tecido 100% algodão.</v>
      </c>
      <c r="C95" s="161"/>
      <c r="D95" s="162">
        <v>2</v>
      </c>
      <c r="E95" s="163">
        <f t="shared" ref="E95:E97" si="35">D95*F89</f>
        <v>95.913333333333341</v>
      </c>
    </row>
    <row r="96" spans="1:16" x14ac:dyDescent="0.2">
      <c r="A96" s="159">
        <v>3</v>
      </c>
      <c r="B96" s="160" t="str">
        <f t="shared" si="34"/>
        <v>Par de meias</v>
      </c>
      <c r="C96" s="161"/>
      <c r="D96" s="162">
        <v>4</v>
      </c>
      <c r="E96" s="163">
        <f>D96*G90</f>
        <v>72</v>
      </c>
    </row>
    <row r="97" spans="1:5" x14ac:dyDescent="0.2">
      <c r="A97" s="159">
        <v>4</v>
      </c>
      <c r="B97" s="160" t="str">
        <f t="shared" si="34"/>
        <v>Par de calçados pretos (apropriados ao serviço), a cada 6 meses</v>
      </c>
      <c r="C97" s="161"/>
      <c r="D97" s="162">
        <v>2</v>
      </c>
      <c r="E97" s="163">
        <f t="shared" si="35"/>
        <v>100.36</v>
      </c>
    </row>
    <row r="98" spans="1:5" x14ac:dyDescent="0.2">
      <c r="A98" s="203" t="s">
        <v>336</v>
      </c>
      <c r="B98" s="203"/>
      <c r="C98" s="203"/>
      <c r="D98" s="203"/>
      <c r="E98" s="164">
        <f>SUM(E94:E97)</f>
        <v>341.27333333333337</v>
      </c>
    </row>
    <row r="99" spans="1:5" x14ac:dyDescent="0.2">
      <c r="A99" s="203" t="s">
        <v>202</v>
      </c>
      <c r="B99" s="203"/>
      <c r="C99" s="203"/>
      <c r="D99" s="203"/>
      <c r="E99" s="164">
        <f>E98/12</f>
        <v>28.439444444444447</v>
      </c>
    </row>
  </sheetData>
  <mergeCells count="14">
    <mergeCell ref="A98:D98"/>
    <mergeCell ref="A99:D99"/>
    <mergeCell ref="B84:D84"/>
    <mergeCell ref="J86:L86"/>
    <mergeCell ref="A1:L1"/>
    <mergeCell ref="A9:M9"/>
    <mergeCell ref="A86:I86"/>
    <mergeCell ref="N9:P9"/>
    <mergeCell ref="B61:D61"/>
    <mergeCell ref="A63:M63"/>
    <mergeCell ref="N63:P63"/>
    <mergeCell ref="E5:I5"/>
    <mergeCell ref="E6:I6"/>
    <mergeCell ref="E7:I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topLeftCell="C1" zoomScale="85" zoomScaleNormal="85" workbookViewId="0">
      <selection activeCell="L4" sqref="L4"/>
    </sheetView>
  </sheetViews>
  <sheetFormatPr defaultColWidth="9.28515625" defaultRowHeight="15.75" x14ac:dyDescent="0.25"/>
  <cols>
    <col min="1" max="1" width="6" style="75" customWidth="1"/>
    <col min="2" max="2" width="73.7109375" style="54" customWidth="1"/>
    <col min="3" max="3" width="19.5703125" style="54" customWidth="1"/>
    <col min="4" max="5" width="18" style="54" customWidth="1"/>
    <col min="6" max="6" width="11" style="54" customWidth="1"/>
    <col min="7" max="7" width="9.140625" style="54" customWidth="1"/>
    <col min="8" max="8" width="16.28515625" style="76" customWidth="1"/>
    <col min="9" max="9" width="17.7109375" style="54" bestFit="1" customWidth="1"/>
    <col min="10" max="10" width="16.42578125" style="54" bestFit="1" customWidth="1"/>
    <col min="11" max="11" width="18.42578125" style="54" customWidth="1"/>
    <col min="12" max="12" width="17.42578125" style="54" customWidth="1"/>
    <col min="13" max="13" width="15.42578125" style="54" customWidth="1"/>
    <col min="14" max="15" width="9.28515625" style="54"/>
    <col min="16" max="16" width="13.140625" style="54" bestFit="1" customWidth="1"/>
    <col min="17" max="17" width="11.85546875" style="54" bestFit="1" customWidth="1"/>
    <col min="18" max="16384" width="9.28515625" style="54"/>
  </cols>
  <sheetData>
    <row r="1" spans="1:17" ht="35.450000000000003" customHeight="1" x14ac:dyDescent="0.25">
      <c r="A1" s="209" t="s">
        <v>320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7" x14ac:dyDescent="0.25">
      <c r="A2" s="55"/>
      <c r="B2" s="56"/>
      <c r="C2" s="56"/>
      <c r="D2" s="56"/>
      <c r="E2" s="56"/>
      <c r="F2" s="56"/>
      <c r="G2" s="56"/>
      <c r="H2" s="57"/>
      <c r="I2" s="56"/>
    </row>
    <row r="3" spans="1:17" s="60" customFormat="1" ht="63" x14ac:dyDescent="0.25">
      <c r="A3" s="58" t="s">
        <v>24</v>
      </c>
      <c r="B3" s="58" t="s">
        <v>45</v>
      </c>
      <c r="C3" s="58" t="s">
        <v>209</v>
      </c>
      <c r="D3" s="58" t="s">
        <v>321</v>
      </c>
      <c r="E3" s="58" t="s">
        <v>322</v>
      </c>
      <c r="F3" s="58" t="s">
        <v>323</v>
      </c>
      <c r="G3" s="58" t="s">
        <v>324</v>
      </c>
      <c r="H3" s="59" t="s">
        <v>352</v>
      </c>
      <c r="I3" s="58" t="s">
        <v>353</v>
      </c>
      <c r="J3" s="58" t="s">
        <v>325</v>
      </c>
      <c r="K3" s="58" t="s">
        <v>354</v>
      </c>
      <c r="L3" s="58" t="s">
        <v>355</v>
      </c>
    </row>
    <row r="4" spans="1:17" ht="30" x14ac:dyDescent="0.25">
      <c r="A4" s="61">
        <v>1</v>
      </c>
      <c r="B4" s="62" t="s">
        <v>296</v>
      </c>
      <c r="C4" s="63">
        <f>'MÓDULO 5'!F65</f>
        <v>486</v>
      </c>
      <c r="D4" s="64">
        <f>'MÓDULO 5'!D65</f>
        <v>2</v>
      </c>
      <c r="E4" s="65">
        <f>C4*D4</f>
        <v>972</v>
      </c>
      <c r="F4" s="66">
        <v>8508</v>
      </c>
      <c r="G4" s="66">
        <v>5</v>
      </c>
      <c r="H4" s="67">
        <v>0.2</v>
      </c>
      <c r="I4" s="68">
        <f>C4</f>
        <v>486</v>
      </c>
      <c r="J4" s="69">
        <f>I4*H4</f>
        <v>97.2</v>
      </c>
      <c r="K4" s="70">
        <f>J4/12</f>
        <v>8.1</v>
      </c>
      <c r="L4" s="70">
        <f>K4*D4</f>
        <v>16.2</v>
      </c>
      <c r="P4" s="169"/>
      <c r="Q4" s="169"/>
    </row>
    <row r="5" spans="1:17" ht="45" x14ac:dyDescent="0.25">
      <c r="A5" s="61">
        <v>0</v>
      </c>
      <c r="B5" s="62" t="s">
        <v>297</v>
      </c>
      <c r="C5" s="63">
        <f>'MÓDULO 5'!F66</f>
        <v>3480.36</v>
      </c>
      <c r="D5" s="64">
        <f>'MÓDULO 5'!D66</f>
        <v>2</v>
      </c>
      <c r="E5" s="65">
        <f t="shared" ref="E5:E22" si="0">C5*D5</f>
        <v>6960.72</v>
      </c>
      <c r="F5" s="66">
        <v>8508</v>
      </c>
      <c r="G5" s="66">
        <v>5</v>
      </c>
      <c r="H5" s="67">
        <v>0.2</v>
      </c>
      <c r="I5" s="68">
        <f t="shared" ref="I5:I22" si="1">C5</f>
        <v>3480.36</v>
      </c>
      <c r="J5" s="69">
        <f t="shared" ref="J5:J22" si="2">I5*H5</f>
        <v>696.07200000000012</v>
      </c>
      <c r="K5" s="70">
        <f t="shared" ref="K5:K22" si="3">J5/12</f>
        <v>58.006000000000007</v>
      </c>
      <c r="L5" s="70">
        <f t="shared" ref="L5:L22" si="4">K5*D5</f>
        <v>116.01200000000001</v>
      </c>
    </row>
    <row r="6" spans="1:17" x14ac:dyDescent="0.25">
      <c r="A6" s="61">
        <v>3</v>
      </c>
      <c r="B6" s="71" t="s">
        <v>298</v>
      </c>
      <c r="C6" s="63">
        <f>'MÓDULO 5'!F67</f>
        <v>18.37</v>
      </c>
      <c r="D6" s="64">
        <f>'MÓDULO 5'!D67</f>
        <v>20</v>
      </c>
      <c r="E6" s="65">
        <f t="shared" si="0"/>
        <v>367.40000000000003</v>
      </c>
      <c r="F6" s="66">
        <v>8424</v>
      </c>
      <c r="G6" s="66">
        <v>10</v>
      </c>
      <c r="H6" s="67">
        <v>0.1</v>
      </c>
      <c r="I6" s="68">
        <f t="shared" si="1"/>
        <v>18.37</v>
      </c>
      <c r="J6" s="69">
        <f t="shared" si="2"/>
        <v>1.8370000000000002</v>
      </c>
      <c r="K6" s="70">
        <f t="shared" si="3"/>
        <v>0.15308333333333335</v>
      </c>
      <c r="L6" s="70">
        <f t="shared" si="4"/>
        <v>3.061666666666667</v>
      </c>
    </row>
    <row r="7" spans="1:17" x14ac:dyDescent="0.25">
      <c r="A7" s="61">
        <v>4</v>
      </c>
      <c r="B7" s="62" t="s">
        <v>299</v>
      </c>
      <c r="C7" s="63">
        <f>'MÓDULO 5'!F68</f>
        <v>323.33</v>
      </c>
      <c r="D7" s="64">
        <f>'MÓDULO 5'!D68</f>
        <v>3</v>
      </c>
      <c r="E7" s="65">
        <f t="shared" si="0"/>
        <v>969.99</v>
      </c>
      <c r="F7" s="66">
        <v>3924</v>
      </c>
      <c r="G7" s="66">
        <v>5</v>
      </c>
      <c r="H7" s="67">
        <v>0.2</v>
      </c>
      <c r="I7" s="68">
        <f t="shared" si="1"/>
        <v>323.33</v>
      </c>
      <c r="J7" s="69">
        <f t="shared" si="2"/>
        <v>64.665999999999997</v>
      </c>
      <c r="K7" s="70">
        <f t="shared" si="3"/>
        <v>5.3888333333333334</v>
      </c>
      <c r="L7" s="70">
        <f t="shared" si="4"/>
        <v>16.166499999999999</v>
      </c>
    </row>
    <row r="8" spans="1:17" ht="30" x14ac:dyDescent="0.25">
      <c r="A8" s="61">
        <v>5</v>
      </c>
      <c r="B8" s="62" t="s">
        <v>300</v>
      </c>
      <c r="C8" s="63">
        <f>'MÓDULO 5'!F69</f>
        <v>897.71</v>
      </c>
      <c r="D8" s="64">
        <f>'MÓDULO 5'!D69</f>
        <v>2</v>
      </c>
      <c r="E8" s="65">
        <f t="shared" si="0"/>
        <v>1795.42</v>
      </c>
      <c r="F8" s="66">
        <v>8716</v>
      </c>
      <c r="G8" s="66">
        <v>5</v>
      </c>
      <c r="H8" s="67">
        <v>0.2</v>
      </c>
      <c r="I8" s="68">
        <f t="shared" si="1"/>
        <v>897.71</v>
      </c>
      <c r="J8" s="69">
        <f t="shared" si="2"/>
        <v>179.54200000000003</v>
      </c>
      <c r="K8" s="70">
        <f t="shared" si="3"/>
        <v>14.961833333333336</v>
      </c>
      <c r="L8" s="70">
        <f t="shared" si="4"/>
        <v>29.923666666666673</v>
      </c>
    </row>
    <row r="9" spans="1:17" ht="30" x14ac:dyDescent="0.25">
      <c r="A9" s="61">
        <v>6</v>
      </c>
      <c r="B9" s="62" t="s">
        <v>301</v>
      </c>
      <c r="C9" s="63">
        <f>'MÓDULO 5'!F70</f>
        <v>1885.26</v>
      </c>
      <c r="D9" s="64">
        <f>'MÓDULO 5'!D70</f>
        <v>1</v>
      </c>
      <c r="E9" s="65">
        <f t="shared" si="0"/>
        <v>1885.26</v>
      </c>
      <c r="F9" s="66">
        <v>8508</v>
      </c>
      <c r="G9" s="66">
        <v>5</v>
      </c>
      <c r="H9" s="67">
        <v>0.2</v>
      </c>
      <c r="I9" s="68">
        <f t="shared" si="1"/>
        <v>1885.26</v>
      </c>
      <c r="J9" s="69">
        <f t="shared" si="2"/>
        <v>377.05200000000002</v>
      </c>
      <c r="K9" s="70">
        <f t="shared" si="3"/>
        <v>31.421000000000003</v>
      </c>
      <c r="L9" s="70">
        <f t="shared" si="4"/>
        <v>31.421000000000003</v>
      </c>
    </row>
    <row r="10" spans="1:17" ht="60" x14ac:dyDescent="0.25">
      <c r="A10" s="61">
        <v>7</v>
      </c>
      <c r="B10" s="62" t="s">
        <v>302</v>
      </c>
      <c r="C10" s="63">
        <f>'MÓDULO 5'!F71</f>
        <v>2196.1</v>
      </c>
      <c r="D10" s="64">
        <f>'MÓDULO 5'!D71</f>
        <v>1</v>
      </c>
      <c r="E10" s="65">
        <f t="shared" si="0"/>
        <v>2196.1</v>
      </c>
      <c r="F10" s="66">
        <v>8508</v>
      </c>
      <c r="G10" s="66">
        <v>5</v>
      </c>
      <c r="H10" s="67">
        <v>0.2</v>
      </c>
      <c r="I10" s="68">
        <f t="shared" si="1"/>
        <v>2196.1</v>
      </c>
      <c r="J10" s="69">
        <f t="shared" si="2"/>
        <v>439.22</v>
      </c>
      <c r="K10" s="70">
        <f t="shared" si="3"/>
        <v>36.601666666666667</v>
      </c>
      <c r="L10" s="70">
        <f t="shared" si="4"/>
        <v>36.601666666666667</v>
      </c>
    </row>
    <row r="11" spans="1:17" ht="45" x14ac:dyDescent="0.25">
      <c r="A11" s="61">
        <v>8</v>
      </c>
      <c r="B11" s="62" t="s">
        <v>303</v>
      </c>
      <c r="C11" s="63">
        <f>'MÓDULO 5'!F72</f>
        <v>2750</v>
      </c>
      <c r="D11" s="64">
        <f>'MÓDULO 5'!D72</f>
        <v>1</v>
      </c>
      <c r="E11" s="65">
        <f t="shared" si="0"/>
        <v>2750</v>
      </c>
      <c r="F11" s="66">
        <v>8508</v>
      </c>
      <c r="G11" s="66">
        <v>5</v>
      </c>
      <c r="H11" s="67">
        <v>0.2</v>
      </c>
      <c r="I11" s="68">
        <f t="shared" si="1"/>
        <v>2750</v>
      </c>
      <c r="J11" s="69">
        <f t="shared" si="2"/>
        <v>550</v>
      </c>
      <c r="K11" s="70">
        <f t="shared" si="3"/>
        <v>45.833333333333336</v>
      </c>
      <c r="L11" s="70">
        <f t="shared" si="4"/>
        <v>45.833333333333336</v>
      </c>
    </row>
    <row r="12" spans="1:17" ht="60" x14ac:dyDescent="0.25">
      <c r="A12" s="61">
        <v>9</v>
      </c>
      <c r="B12" s="62" t="s">
        <v>304</v>
      </c>
      <c r="C12" s="63">
        <f>'MÓDULO 5'!F73</f>
        <v>2750</v>
      </c>
      <c r="D12" s="64">
        <f>'MÓDULO 5'!D73</f>
        <v>1</v>
      </c>
      <c r="E12" s="65">
        <f t="shared" si="0"/>
        <v>2750</v>
      </c>
      <c r="F12" s="66">
        <v>8508</v>
      </c>
      <c r="G12" s="66">
        <v>5</v>
      </c>
      <c r="H12" s="67">
        <v>0.2</v>
      </c>
      <c r="I12" s="68">
        <f t="shared" si="1"/>
        <v>2750</v>
      </c>
      <c r="J12" s="69">
        <f t="shared" si="2"/>
        <v>550</v>
      </c>
      <c r="K12" s="70">
        <f t="shared" si="3"/>
        <v>45.833333333333336</v>
      </c>
      <c r="L12" s="70">
        <f t="shared" si="4"/>
        <v>45.833333333333336</v>
      </c>
    </row>
    <row r="13" spans="1:17" ht="45" x14ac:dyDescent="0.25">
      <c r="A13" s="61">
        <v>10</v>
      </c>
      <c r="B13" s="62" t="s">
        <v>305</v>
      </c>
      <c r="C13" s="63">
        <f>'MÓDULO 5'!F74</f>
        <v>3151.26</v>
      </c>
      <c r="D13" s="64">
        <f>'MÓDULO 5'!D74</f>
        <v>1</v>
      </c>
      <c r="E13" s="65">
        <f t="shared" si="0"/>
        <v>3151.26</v>
      </c>
      <c r="F13" s="66">
        <v>8508</v>
      </c>
      <c r="G13" s="66">
        <v>5</v>
      </c>
      <c r="H13" s="67">
        <v>0.2</v>
      </c>
      <c r="I13" s="68">
        <f t="shared" si="1"/>
        <v>3151.26</v>
      </c>
      <c r="J13" s="69">
        <f t="shared" si="2"/>
        <v>630.25200000000007</v>
      </c>
      <c r="K13" s="70">
        <f t="shared" si="3"/>
        <v>52.521000000000008</v>
      </c>
      <c r="L13" s="70">
        <f t="shared" si="4"/>
        <v>52.521000000000008</v>
      </c>
    </row>
    <row r="14" spans="1:17" x14ac:dyDescent="0.25">
      <c r="A14" s="61">
        <v>11</v>
      </c>
      <c r="B14" s="62" t="s">
        <v>306</v>
      </c>
      <c r="C14" s="63">
        <f>'MÓDULO 5'!F75</f>
        <v>295.45</v>
      </c>
      <c r="D14" s="64">
        <f>'MÓDULO 5'!D75</f>
        <v>2</v>
      </c>
      <c r="E14" s="65">
        <f t="shared" si="0"/>
        <v>590.9</v>
      </c>
      <c r="F14" s="66">
        <v>8428</v>
      </c>
      <c r="G14" s="66">
        <v>10</v>
      </c>
      <c r="H14" s="67">
        <v>0.1</v>
      </c>
      <c r="I14" s="68">
        <f t="shared" si="1"/>
        <v>295.45</v>
      </c>
      <c r="J14" s="69">
        <f t="shared" si="2"/>
        <v>29.545000000000002</v>
      </c>
      <c r="K14" s="70">
        <f t="shared" si="3"/>
        <v>2.4620833333333336</v>
      </c>
      <c r="L14" s="70">
        <f t="shared" si="4"/>
        <v>4.9241666666666672</v>
      </c>
    </row>
    <row r="15" spans="1:17" x14ac:dyDescent="0.25">
      <c r="A15" s="61">
        <v>12</v>
      </c>
      <c r="B15" s="62" t="s">
        <v>307</v>
      </c>
      <c r="C15" s="63">
        <f>'MÓDULO 5'!F76</f>
        <v>355.33</v>
      </c>
      <c r="D15" s="64">
        <f>'MÓDULO 5'!D76</f>
        <v>2</v>
      </c>
      <c r="E15" s="65">
        <f t="shared" si="0"/>
        <v>710.66</v>
      </c>
      <c r="F15" s="66">
        <v>8428</v>
      </c>
      <c r="G15" s="66">
        <v>10</v>
      </c>
      <c r="H15" s="67">
        <v>0.1</v>
      </c>
      <c r="I15" s="68">
        <f t="shared" si="1"/>
        <v>355.33</v>
      </c>
      <c r="J15" s="69">
        <f t="shared" si="2"/>
        <v>35.533000000000001</v>
      </c>
      <c r="K15" s="70">
        <f t="shared" si="3"/>
        <v>2.9610833333333333</v>
      </c>
      <c r="L15" s="70">
        <f t="shared" si="4"/>
        <v>5.9221666666666666</v>
      </c>
    </row>
    <row r="16" spans="1:17" ht="45" x14ac:dyDescent="0.25">
      <c r="A16" s="61">
        <v>13</v>
      </c>
      <c r="B16" s="71" t="s">
        <v>308</v>
      </c>
      <c r="C16" s="63">
        <f>'MÓDULO 5'!F77</f>
        <v>1175.28</v>
      </c>
      <c r="D16" s="64">
        <f>'MÓDULO 5'!D77</f>
        <v>2</v>
      </c>
      <c r="E16" s="65">
        <f t="shared" si="0"/>
        <v>2350.56</v>
      </c>
      <c r="F16" s="72">
        <v>8428</v>
      </c>
      <c r="G16" s="72">
        <v>10</v>
      </c>
      <c r="H16" s="67">
        <v>0.1</v>
      </c>
      <c r="I16" s="68">
        <f t="shared" si="1"/>
        <v>1175.28</v>
      </c>
      <c r="J16" s="69">
        <f t="shared" si="2"/>
        <v>117.52800000000001</v>
      </c>
      <c r="K16" s="70">
        <f t="shared" si="3"/>
        <v>9.7940000000000005</v>
      </c>
      <c r="L16" s="70">
        <f t="shared" si="4"/>
        <v>19.588000000000001</v>
      </c>
    </row>
    <row r="17" spans="1:12" x14ac:dyDescent="0.25">
      <c r="A17" s="61">
        <v>14</v>
      </c>
      <c r="B17" s="62" t="s">
        <v>309</v>
      </c>
      <c r="C17" s="63">
        <f>'MÓDULO 5'!F78</f>
        <v>31.5</v>
      </c>
      <c r="D17" s="64">
        <f>'MÓDULO 5'!D78</f>
        <v>2</v>
      </c>
      <c r="E17" s="65">
        <f t="shared" si="0"/>
        <v>63</v>
      </c>
      <c r="F17" s="66">
        <v>8424</v>
      </c>
      <c r="G17" s="66">
        <v>10</v>
      </c>
      <c r="H17" s="67">
        <v>0.1</v>
      </c>
      <c r="I17" s="68">
        <f t="shared" si="1"/>
        <v>31.5</v>
      </c>
      <c r="J17" s="69">
        <f t="shared" si="2"/>
        <v>3.1500000000000004</v>
      </c>
      <c r="K17" s="70">
        <f t="shared" si="3"/>
        <v>0.26250000000000001</v>
      </c>
      <c r="L17" s="70">
        <f t="shared" si="4"/>
        <v>0.52500000000000002</v>
      </c>
    </row>
    <row r="18" spans="1:12" x14ac:dyDescent="0.25">
      <c r="A18" s="61">
        <v>15</v>
      </c>
      <c r="B18" s="62" t="s">
        <v>326</v>
      </c>
      <c r="C18" s="63">
        <f>'MÓDULO 5'!F79</f>
        <v>89.52</v>
      </c>
      <c r="D18" s="64">
        <f>'MÓDULO 5'!D79</f>
        <v>5</v>
      </c>
      <c r="E18" s="65">
        <f t="shared" si="0"/>
        <v>447.59999999999997</v>
      </c>
      <c r="F18" s="66">
        <v>8543</v>
      </c>
      <c r="G18" s="66">
        <v>10</v>
      </c>
      <c r="H18" s="67">
        <v>0.1</v>
      </c>
      <c r="I18" s="68">
        <f t="shared" si="1"/>
        <v>89.52</v>
      </c>
      <c r="J18" s="69">
        <f t="shared" si="2"/>
        <v>8.952</v>
      </c>
      <c r="K18" s="70">
        <f t="shared" si="3"/>
        <v>0.746</v>
      </c>
      <c r="L18" s="70">
        <f t="shared" si="4"/>
        <v>3.73</v>
      </c>
    </row>
    <row r="19" spans="1:12" ht="75" x14ac:dyDescent="0.25">
      <c r="A19" s="61">
        <v>16</v>
      </c>
      <c r="B19" s="62" t="s">
        <v>311</v>
      </c>
      <c r="C19" s="63">
        <f>'MÓDULO 5'!F80</f>
        <v>16368.93</v>
      </c>
      <c r="D19" s="64">
        <f>'MÓDULO 5'!D80</f>
        <v>4</v>
      </c>
      <c r="E19" s="65">
        <f t="shared" si="0"/>
        <v>65475.72</v>
      </c>
      <c r="F19" s="66">
        <v>8451</v>
      </c>
      <c r="G19" s="66">
        <v>10</v>
      </c>
      <c r="H19" s="67">
        <v>0.1</v>
      </c>
      <c r="I19" s="68">
        <f t="shared" si="1"/>
        <v>16368.93</v>
      </c>
      <c r="J19" s="69">
        <f t="shared" si="2"/>
        <v>1636.893</v>
      </c>
      <c r="K19" s="70">
        <f t="shared" si="3"/>
        <v>136.40774999999999</v>
      </c>
      <c r="L19" s="70">
        <f t="shared" si="4"/>
        <v>545.63099999999997</v>
      </c>
    </row>
    <row r="20" spans="1:12" ht="30" x14ac:dyDescent="0.25">
      <c r="A20" s="61">
        <v>17</v>
      </c>
      <c r="B20" s="62" t="s">
        <v>312</v>
      </c>
      <c r="C20" s="63">
        <f>'MÓDULO 5'!F81</f>
        <v>35.29</v>
      </c>
      <c r="D20" s="64">
        <f>'MÓDULO 5'!D81</f>
        <v>5</v>
      </c>
      <c r="E20" s="65">
        <f t="shared" si="0"/>
        <v>176.45</v>
      </c>
      <c r="F20" s="66" t="s">
        <v>327</v>
      </c>
      <c r="G20" s="66">
        <v>5</v>
      </c>
      <c r="H20" s="67">
        <v>0.2</v>
      </c>
      <c r="I20" s="68">
        <f t="shared" si="1"/>
        <v>35.29</v>
      </c>
      <c r="J20" s="69">
        <f t="shared" si="2"/>
        <v>7.0579999999999998</v>
      </c>
      <c r="K20" s="70">
        <f t="shared" si="3"/>
        <v>0.58816666666666662</v>
      </c>
      <c r="L20" s="70">
        <f t="shared" si="4"/>
        <v>2.940833333333333</v>
      </c>
    </row>
    <row r="21" spans="1:12" ht="30" x14ac:dyDescent="0.25">
      <c r="A21" s="61">
        <v>18</v>
      </c>
      <c r="B21" s="62" t="s">
        <v>313</v>
      </c>
      <c r="C21" s="63">
        <f>'MÓDULO 5'!F82</f>
        <v>52</v>
      </c>
      <c r="D21" s="64">
        <f>'MÓDULO 5'!D82</f>
        <v>5</v>
      </c>
      <c r="E21" s="65">
        <f t="shared" si="0"/>
        <v>260</v>
      </c>
      <c r="F21" s="66" t="s">
        <v>327</v>
      </c>
      <c r="G21" s="66">
        <v>5</v>
      </c>
      <c r="H21" s="67">
        <v>0.2</v>
      </c>
      <c r="I21" s="68">
        <f t="shared" si="1"/>
        <v>52</v>
      </c>
      <c r="J21" s="69">
        <f t="shared" si="2"/>
        <v>10.4</v>
      </c>
      <c r="K21" s="70">
        <f t="shared" si="3"/>
        <v>0.8666666666666667</v>
      </c>
      <c r="L21" s="70">
        <f t="shared" si="4"/>
        <v>4.3333333333333339</v>
      </c>
    </row>
    <row r="22" spans="1:12" ht="30" x14ac:dyDescent="0.25">
      <c r="A22" s="61">
        <v>19</v>
      </c>
      <c r="B22" s="62" t="s">
        <v>314</v>
      </c>
      <c r="C22" s="63">
        <f>'MÓDULO 5'!F83</f>
        <v>1022.17</v>
      </c>
      <c r="D22" s="64">
        <f>'MÓDULO 5'!D83</f>
        <v>4</v>
      </c>
      <c r="E22" s="65">
        <f t="shared" si="0"/>
        <v>4088.68</v>
      </c>
      <c r="F22" s="66">
        <v>8437</v>
      </c>
      <c r="G22" s="66">
        <v>10</v>
      </c>
      <c r="H22" s="67">
        <v>0.1</v>
      </c>
      <c r="I22" s="68">
        <f t="shared" si="1"/>
        <v>1022.17</v>
      </c>
      <c r="J22" s="69">
        <f t="shared" si="2"/>
        <v>102.217</v>
      </c>
      <c r="K22" s="70">
        <f t="shared" si="3"/>
        <v>8.5180833333333332</v>
      </c>
      <c r="L22" s="70">
        <f t="shared" si="4"/>
        <v>34.072333333333333</v>
      </c>
    </row>
    <row r="23" spans="1:12" s="75" customFormat="1" x14ac:dyDescent="0.25">
      <c r="A23" s="61"/>
      <c r="B23" s="210" t="s">
        <v>95</v>
      </c>
      <c r="C23" s="211"/>
      <c r="D23" s="211"/>
      <c r="E23" s="211"/>
      <c r="F23" s="211"/>
      <c r="G23" s="211"/>
      <c r="H23" s="212"/>
      <c r="I23" s="68">
        <f>SUM(I4:I22)</f>
        <v>37363.86</v>
      </c>
      <c r="J23" s="68">
        <f>SUM(J4:J22)</f>
        <v>5537.1169999999993</v>
      </c>
      <c r="K23" s="73">
        <f>SUM(K4:K22)</f>
        <v>461.42641666666663</v>
      </c>
      <c r="L23" s="74">
        <f>SUM(L4:L22)</f>
        <v>1015.241</v>
      </c>
    </row>
  </sheetData>
  <mergeCells count="2">
    <mergeCell ref="A1:L1"/>
    <mergeCell ref="B23:H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0"/>
  <sheetViews>
    <sheetView topLeftCell="A10" zoomScale="85" zoomScaleNormal="85" workbookViewId="0">
      <selection activeCell="E29" sqref="E29"/>
    </sheetView>
  </sheetViews>
  <sheetFormatPr defaultColWidth="9.28515625" defaultRowHeight="14.25" x14ac:dyDescent="0.2"/>
  <cols>
    <col min="1" max="1" width="6.42578125" style="97" customWidth="1"/>
    <col min="2" max="2" width="75.7109375" style="129" customWidth="1"/>
    <col min="3" max="3" width="14.140625" style="97" customWidth="1"/>
    <col min="4" max="4" width="21.28515625" style="97" customWidth="1"/>
    <col min="5" max="5" width="20.7109375" style="97" customWidth="1"/>
    <col min="6" max="6" width="20.28515625" style="97" customWidth="1"/>
    <col min="7" max="9" width="15.7109375" style="130" customWidth="1"/>
    <col min="10" max="10" width="12.28515625" style="130" customWidth="1"/>
    <col min="11" max="11" width="13.42578125" style="130" customWidth="1"/>
    <col min="12" max="12" width="10.28515625" style="130" customWidth="1"/>
    <col min="13" max="13" width="16.42578125" style="95" customWidth="1"/>
    <col min="14" max="14" width="15.7109375" style="96" customWidth="1"/>
    <col min="15" max="15" width="16.28515625" style="96" customWidth="1"/>
    <col min="16" max="16" width="17.28515625" style="96" customWidth="1"/>
    <col min="17" max="1025" width="9.28515625" style="97"/>
    <col min="1026" max="16384" width="9.28515625" style="93"/>
  </cols>
  <sheetData>
    <row r="1" spans="1:16" ht="25.5" customHeight="1" x14ac:dyDescent="0.2">
      <c r="A1" s="206" t="s">
        <v>328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6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6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6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6" ht="33.75" customHeight="1" x14ac:dyDescent="0.2">
      <c r="A5" s="207" t="s">
        <v>203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99" t="s">
        <v>204</v>
      </c>
      <c r="O5" s="199"/>
      <c r="P5" s="199"/>
    </row>
    <row r="6" spans="1:16" ht="28.5" x14ac:dyDescent="0.2">
      <c r="A6" s="103" t="s">
        <v>205</v>
      </c>
      <c r="B6" s="103" t="s">
        <v>45</v>
      </c>
      <c r="C6" s="104" t="s">
        <v>206</v>
      </c>
      <c r="D6" s="104" t="s">
        <v>334</v>
      </c>
      <c r="E6" s="103" t="s">
        <v>208</v>
      </c>
      <c r="F6" s="103" t="s">
        <v>209</v>
      </c>
      <c r="G6" s="105" t="s">
        <v>210</v>
      </c>
      <c r="H6" s="105" t="s">
        <v>211</v>
      </c>
      <c r="I6" s="105" t="s">
        <v>212</v>
      </c>
      <c r="J6" s="106" t="s">
        <v>213</v>
      </c>
      <c r="K6" s="106" t="s">
        <v>214</v>
      </c>
      <c r="L6" s="106" t="s">
        <v>215</v>
      </c>
      <c r="M6" s="107" t="s">
        <v>216</v>
      </c>
      <c r="N6" s="108" t="s">
        <v>210</v>
      </c>
      <c r="O6" s="108" t="s">
        <v>211</v>
      </c>
      <c r="P6" s="108" t="s">
        <v>212</v>
      </c>
    </row>
    <row r="7" spans="1:16" x14ac:dyDescent="0.2">
      <c r="A7" s="109">
        <v>3</v>
      </c>
      <c r="B7" s="110" t="s">
        <v>338</v>
      </c>
      <c r="C7" s="111" t="s">
        <v>220</v>
      </c>
      <c r="D7" s="111">
        <v>86</v>
      </c>
      <c r="E7" s="112">
        <f t="shared" ref="E7:E22" si="0">D7*F7</f>
        <v>1713.98</v>
      </c>
      <c r="F7" s="113">
        <f t="shared" ref="F7:F21" si="1">IF(M7&lt;25%,J7,K7)</f>
        <v>19.93</v>
      </c>
      <c r="G7" s="113">
        <v>18</v>
      </c>
      <c r="H7" s="113">
        <v>20</v>
      </c>
      <c r="I7" s="113">
        <v>21.8</v>
      </c>
      <c r="J7" s="114">
        <f t="shared" ref="J7:J22" si="2">ROUND(AVERAGE(G7:I7),2)</f>
        <v>19.93</v>
      </c>
      <c r="K7" s="114">
        <f t="shared" ref="K7:K22" si="3">MEDIAN(G7:I7)</f>
        <v>20</v>
      </c>
      <c r="L7" s="114">
        <f t="shared" ref="L7:L22" si="4">_xlfn.STDEV.P(G7:I7)</f>
        <v>1.5520595635763756</v>
      </c>
      <c r="M7" s="115">
        <f t="shared" ref="M7:M22" si="5">L7/J7</f>
        <v>7.7875542577841225E-2</v>
      </c>
      <c r="N7" s="116">
        <f t="shared" ref="N7:N22" si="6">G7/AVERAGE(H7:I7)</f>
        <v>0.86124401913875603</v>
      </c>
      <c r="O7" s="116">
        <f t="shared" ref="O7:O22" si="7">H7/AVERAGE(G7,I7)</f>
        <v>1.0050251256281408</v>
      </c>
      <c r="P7" s="116">
        <f t="shared" ref="P7:P22" si="8">I7/AVERAGE(G7:H7)</f>
        <v>1.1473684210526316</v>
      </c>
    </row>
    <row r="8" spans="1:16" x14ac:dyDescent="0.2">
      <c r="A8" s="109">
        <v>5</v>
      </c>
      <c r="B8" s="110" t="s">
        <v>223</v>
      </c>
      <c r="C8" s="117" t="s">
        <v>220</v>
      </c>
      <c r="D8" s="111">
        <v>86</v>
      </c>
      <c r="E8" s="118">
        <f t="shared" si="0"/>
        <v>7226.58</v>
      </c>
      <c r="F8" s="113">
        <f>K8</f>
        <v>84.03</v>
      </c>
      <c r="G8" s="113">
        <v>70</v>
      </c>
      <c r="H8" s="113">
        <v>104.97</v>
      </c>
      <c r="I8" s="113">
        <v>84.03</v>
      </c>
      <c r="J8" s="114">
        <f t="shared" si="2"/>
        <v>86.33</v>
      </c>
      <c r="K8" s="114">
        <f t="shared" si="3"/>
        <v>84.03</v>
      </c>
      <c r="L8" s="114">
        <f t="shared" si="4"/>
        <v>14.369046206651589</v>
      </c>
      <c r="M8" s="119">
        <f t="shared" si="5"/>
        <v>0.16644325502897706</v>
      </c>
      <c r="N8" s="120">
        <f t="shared" si="6"/>
        <v>0.7407407407407407</v>
      </c>
      <c r="O8" s="120">
        <f t="shared" si="7"/>
        <v>1.3629812374212815</v>
      </c>
      <c r="P8" s="120">
        <f t="shared" si="8"/>
        <v>0.96050751557409841</v>
      </c>
    </row>
    <row r="9" spans="1:16" x14ac:dyDescent="0.2">
      <c r="A9" s="109">
        <v>20</v>
      </c>
      <c r="B9" s="110" t="s">
        <v>237</v>
      </c>
      <c r="C9" s="117" t="s">
        <v>220</v>
      </c>
      <c r="D9" s="111">
        <v>86</v>
      </c>
      <c r="E9" s="118">
        <f t="shared" si="0"/>
        <v>3345.4</v>
      </c>
      <c r="F9" s="113">
        <f t="shared" si="1"/>
        <v>38.9</v>
      </c>
      <c r="G9" s="113">
        <v>42.8</v>
      </c>
      <c r="H9" s="113">
        <v>40.520000000000003</v>
      </c>
      <c r="I9" s="113">
        <v>33.39</v>
      </c>
      <c r="J9" s="114">
        <f t="shared" si="2"/>
        <v>38.9</v>
      </c>
      <c r="K9" s="114">
        <f t="shared" si="3"/>
        <v>40.520000000000003</v>
      </c>
      <c r="L9" s="114">
        <f t="shared" si="4"/>
        <v>4.0080945874844787</v>
      </c>
      <c r="M9" s="119">
        <f t="shared" si="5"/>
        <v>0.10303585057800717</v>
      </c>
      <c r="N9" s="120">
        <f t="shared" si="6"/>
        <v>1.1581653362197266</v>
      </c>
      <c r="O9" s="120">
        <f t="shared" si="7"/>
        <v>1.0636566478540492</v>
      </c>
      <c r="P9" s="120">
        <f t="shared" si="8"/>
        <v>0.80148823811809899</v>
      </c>
    </row>
    <row r="10" spans="1:16" ht="71.25" x14ac:dyDescent="0.2">
      <c r="A10" s="109">
        <v>21</v>
      </c>
      <c r="B10" s="110" t="s">
        <v>238</v>
      </c>
      <c r="C10" s="117" t="s">
        <v>220</v>
      </c>
      <c r="D10" s="111">
        <v>86</v>
      </c>
      <c r="E10" s="118">
        <f t="shared" si="0"/>
        <v>2669.44</v>
      </c>
      <c r="F10" s="113">
        <f t="shared" si="1"/>
        <v>31.04</v>
      </c>
      <c r="G10" s="113">
        <v>29.44</v>
      </c>
      <c r="H10" s="113">
        <v>33.93</v>
      </c>
      <c r="I10" s="113">
        <v>29.75</v>
      </c>
      <c r="J10" s="114">
        <f t="shared" si="2"/>
        <v>31.04</v>
      </c>
      <c r="K10" s="114">
        <f t="shared" si="3"/>
        <v>29.75</v>
      </c>
      <c r="L10" s="114">
        <f t="shared" si="4"/>
        <v>2.0474537031802855</v>
      </c>
      <c r="M10" s="119">
        <f t="shared" si="5"/>
        <v>6.5961781674622605E-2</v>
      </c>
      <c r="N10" s="120">
        <f t="shared" si="6"/>
        <v>0.92462311557788945</v>
      </c>
      <c r="O10" s="120">
        <f t="shared" si="7"/>
        <v>1.1464774455144451</v>
      </c>
      <c r="P10" s="120">
        <f t="shared" si="8"/>
        <v>0.93893009310399234</v>
      </c>
    </row>
    <row r="11" spans="1:16" x14ac:dyDescent="0.2">
      <c r="A11" s="109">
        <v>22</v>
      </c>
      <c r="B11" s="110" t="s">
        <v>239</v>
      </c>
      <c r="C11" s="117" t="s">
        <v>220</v>
      </c>
      <c r="D11" s="117">
        <v>43</v>
      </c>
      <c r="E11" s="118">
        <f t="shared" si="0"/>
        <v>9503</v>
      </c>
      <c r="F11" s="113">
        <f>K11</f>
        <v>221</v>
      </c>
      <c r="G11" s="113">
        <v>271.26</v>
      </c>
      <c r="H11" s="113">
        <v>221</v>
      </c>
      <c r="I11" s="113">
        <v>140</v>
      </c>
      <c r="J11" s="114">
        <f t="shared" si="2"/>
        <v>210.75</v>
      </c>
      <c r="K11" s="114">
        <f t="shared" si="3"/>
        <v>221</v>
      </c>
      <c r="L11" s="114">
        <f t="shared" si="4"/>
        <v>54.074285529774286</v>
      </c>
      <c r="M11" s="119">
        <f t="shared" si="5"/>
        <v>0.25658023976168109</v>
      </c>
      <c r="N11" s="120">
        <f t="shared" si="6"/>
        <v>1.5028254847645428</v>
      </c>
      <c r="O11" s="120">
        <f t="shared" si="7"/>
        <v>1.0747459028351893</v>
      </c>
      <c r="P11" s="120">
        <f t="shared" si="8"/>
        <v>0.56880510299435261</v>
      </c>
    </row>
    <row r="12" spans="1:16" x14ac:dyDescent="0.2">
      <c r="A12" s="109">
        <v>24</v>
      </c>
      <c r="B12" s="110" t="s">
        <v>241</v>
      </c>
      <c r="C12" s="111" t="s">
        <v>220</v>
      </c>
      <c r="D12" s="111">
        <v>43</v>
      </c>
      <c r="E12" s="112">
        <f t="shared" si="0"/>
        <v>377.96999999999997</v>
      </c>
      <c r="F12" s="113">
        <f t="shared" si="1"/>
        <v>8.7899999999999991</v>
      </c>
      <c r="G12" s="113">
        <v>10</v>
      </c>
      <c r="H12" s="113">
        <v>8.25</v>
      </c>
      <c r="I12" s="113">
        <v>8.1300000000000008</v>
      </c>
      <c r="J12" s="114">
        <f t="shared" si="2"/>
        <v>8.7899999999999991</v>
      </c>
      <c r="K12" s="114">
        <f t="shared" si="3"/>
        <v>8.25</v>
      </c>
      <c r="L12" s="114">
        <f t="shared" si="4"/>
        <v>0.85464742568045093</v>
      </c>
      <c r="M12" s="115">
        <f t="shared" si="5"/>
        <v>9.7229513729289077E-2</v>
      </c>
      <c r="N12" s="116">
        <f t="shared" si="6"/>
        <v>1.2210012210012209</v>
      </c>
      <c r="O12" s="116">
        <f t="shared" si="7"/>
        <v>0.91009376723662427</v>
      </c>
      <c r="P12" s="116">
        <f t="shared" si="8"/>
        <v>0.89095890410958911</v>
      </c>
    </row>
    <row r="13" spans="1:16" ht="57" x14ac:dyDescent="0.2">
      <c r="A13" s="109">
        <v>30</v>
      </c>
      <c r="B13" s="110" t="s">
        <v>247</v>
      </c>
      <c r="C13" s="117" t="s">
        <v>220</v>
      </c>
      <c r="D13" s="117">
        <v>5</v>
      </c>
      <c r="E13" s="118">
        <f t="shared" si="0"/>
        <v>2963.05</v>
      </c>
      <c r="F13" s="113">
        <f t="shared" si="1"/>
        <v>592.61</v>
      </c>
      <c r="G13" s="113">
        <v>498.99</v>
      </c>
      <c r="H13" s="121">
        <v>657.66</v>
      </c>
      <c r="I13" s="121">
        <v>621.19000000000005</v>
      </c>
      <c r="J13" s="114">
        <f t="shared" si="2"/>
        <v>592.61</v>
      </c>
      <c r="K13" s="114">
        <f t="shared" si="3"/>
        <v>621.19000000000005</v>
      </c>
      <c r="L13" s="114">
        <f t="shared" si="4"/>
        <v>67.855295216282926</v>
      </c>
      <c r="M13" s="119">
        <f t="shared" si="5"/>
        <v>0.11450244716809187</v>
      </c>
      <c r="N13" s="120">
        <f t="shared" si="6"/>
        <v>0.78037299135942451</v>
      </c>
      <c r="O13" s="120">
        <f t="shared" si="7"/>
        <v>1.174204145762288</v>
      </c>
      <c r="P13" s="120">
        <f t="shared" si="8"/>
        <v>1.0741192236199368</v>
      </c>
    </row>
    <row r="14" spans="1:16" x14ac:dyDescent="0.2">
      <c r="A14" s="109">
        <v>35</v>
      </c>
      <c r="B14" s="110" t="s">
        <v>252</v>
      </c>
      <c r="C14" s="111" t="s">
        <v>220</v>
      </c>
      <c r="D14" s="111">
        <v>43</v>
      </c>
      <c r="E14" s="112">
        <f t="shared" si="0"/>
        <v>7575.3099999999995</v>
      </c>
      <c r="F14" s="113">
        <f t="shared" si="1"/>
        <v>176.17</v>
      </c>
      <c r="G14" s="113">
        <v>178.98</v>
      </c>
      <c r="H14" s="113">
        <v>167.07</v>
      </c>
      <c r="I14" s="113">
        <v>182.47</v>
      </c>
      <c r="J14" s="114">
        <f t="shared" si="2"/>
        <v>176.17</v>
      </c>
      <c r="K14" s="114">
        <f t="shared" si="3"/>
        <v>178.98</v>
      </c>
      <c r="L14" s="114">
        <f t="shared" si="4"/>
        <v>6.5928260674429726</v>
      </c>
      <c r="M14" s="115">
        <f t="shared" si="5"/>
        <v>3.7423091715064839E-2</v>
      </c>
      <c r="N14" s="116">
        <f t="shared" si="6"/>
        <v>1.0240888024260457</v>
      </c>
      <c r="O14" s="116">
        <f t="shared" si="7"/>
        <v>0.92444321482916036</v>
      </c>
      <c r="P14" s="116">
        <f t="shared" si="8"/>
        <v>1.0545874873573184</v>
      </c>
    </row>
    <row r="15" spans="1:16" x14ac:dyDescent="0.2">
      <c r="A15" s="109">
        <v>36</v>
      </c>
      <c r="B15" s="110" t="s">
        <v>253</v>
      </c>
      <c r="C15" s="111" t="s">
        <v>220</v>
      </c>
      <c r="D15" s="111">
        <v>172</v>
      </c>
      <c r="E15" s="112">
        <f t="shared" si="0"/>
        <v>4300</v>
      </c>
      <c r="F15" s="113">
        <f>K15</f>
        <v>25</v>
      </c>
      <c r="G15" s="113">
        <v>29.51</v>
      </c>
      <c r="H15" s="113">
        <v>17.98</v>
      </c>
      <c r="I15" s="113">
        <v>25</v>
      </c>
      <c r="J15" s="114">
        <f t="shared" si="2"/>
        <v>24.16</v>
      </c>
      <c r="K15" s="114">
        <f t="shared" si="3"/>
        <v>25</v>
      </c>
      <c r="L15" s="114">
        <f t="shared" si="4"/>
        <v>4.7441355611135494</v>
      </c>
      <c r="M15" s="115">
        <f t="shared" si="5"/>
        <v>0.19636322686728266</v>
      </c>
      <c r="N15" s="116">
        <f t="shared" si="6"/>
        <v>1.3731968357375524</v>
      </c>
      <c r="O15" s="116">
        <f t="shared" si="7"/>
        <v>0.65969546872133544</v>
      </c>
      <c r="P15" s="116">
        <f t="shared" si="8"/>
        <v>1.0528532322594231</v>
      </c>
    </row>
    <row r="16" spans="1:16" ht="28.5" x14ac:dyDescent="0.2">
      <c r="A16" s="109">
        <v>39</v>
      </c>
      <c r="B16" s="110" t="s">
        <v>256</v>
      </c>
      <c r="C16" s="117" t="s">
        <v>220</v>
      </c>
      <c r="D16" s="117">
        <v>43</v>
      </c>
      <c r="E16" s="118">
        <f t="shared" si="0"/>
        <v>12571.050000000001</v>
      </c>
      <c r="F16" s="113">
        <f>K16</f>
        <v>292.35000000000002</v>
      </c>
      <c r="G16" s="113">
        <v>292.35000000000002</v>
      </c>
      <c r="H16" s="113">
        <v>202.87</v>
      </c>
      <c r="I16" s="113">
        <v>295</v>
      </c>
      <c r="J16" s="114">
        <f t="shared" si="2"/>
        <v>263.41000000000003</v>
      </c>
      <c r="K16" s="114">
        <f t="shared" si="3"/>
        <v>292.35000000000002</v>
      </c>
      <c r="L16" s="114">
        <f t="shared" si="4"/>
        <v>42.819556539298972</v>
      </c>
      <c r="M16" s="119">
        <f t="shared" si="5"/>
        <v>0.16255858372612644</v>
      </c>
      <c r="N16" s="120">
        <f t="shared" si="6"/>
        <v>1.1744029565950951</v>
      </c>
      <c r="O16" s="120">
        <f t="shared" si="7"/>
        <v>0.69079765046394825</v>
      </c>
      <c r="P16" s="120">
        <f t="shared" si="8"/>
        <v>1.1913896853923509</v>
      </c>
    </row>
    <row r="17" spans="1:16" x14ac:dyDescent="0.2">
      <c r="A17" s="109">
        <v>45</v>
      </c>
      <c r="B17" s="110" t="s">
        <v>264</v>
      </c>
      <c r="C17" s="111" t="s">
        <v>220</v>
      </c>
      <c r="D17" s="111">
        <v>86</v>
      </c>
      <c r="E17" s="112">
        <f t="shared" si="0"/>
        <v>443.76</v>
      </c>
      <c r="F17" s="113">
        <f>K17</f>
        <v>5.16</v>
      </c>
      <c r="G17" s="113">
        <v>4.93</v>
      </c>
      <c r="H17" s="113">
        <v>5.16</v>
      </c>
      <c r="I17" s="113">
        <v>7.19</v>
      </c>
      <c r="J17" s="114">
        <f t="shared" si="2"/>
        <v>5.76</v>
      </c>
      <c r="K17" s="114">
        <f t="shared" si="3"/>
        <v>5.16</v>
      </c>
      <c r="L17" s="114">
        <f t="shared" si="4"/>
        <v>1.0155130066457358</v>
      </c>
      <c r="M17" s="115">
        <f t="shared" si="5"/>
        <v>0.17630434143155138</v>
      </c>
      <c r="N17" s="116">
        <f t="shared" si="6"/>
        <v>0.79838056680161928</v>
      </c>
      <c r="O17" s="116">
        <f t="shared" si="7"/>
        <v>0.85148514851485146</v>
      </c>
      <c r="P17" s="116">
        <f t="shared" si="8"/>
        <v>1.4251734390485631</v>
      </c>
    </row>
    <row r="18" spans="1:16" ht="85.5" x14ac:dyDescent="0.2">
      <c r="A18" s="109">
        <v>48</v>
      </c>
      <c r="B18" s="110" t="s">
        <v>268</v>
      </c>
      <c r="C18" s="117" t="s">
        <v>220</v>
      </c>
      <c r="D18" s="117">
        <v>43</v>
      </c>
      <c r="E18" s="118">
        <f t="shared" si="0"/>
        <v>1484.79</v>
      </c>
      <c r="F18" s="113">
        <f>K18</f>
        <v>34.53</v>
      </c>
      <c r="G18" s="113">
        <v>39.979999999999997</v>
      </c>
      <c r="H18" s="113">
        <v>28.73</v>
      </c>
      <c r="I18" s="113">
        <v>34.53</v>
      </c>
      <c r="J18" s="114">
        <f t="shared" si="2"/>
        <v>34.409999999999997</v>
      </c>
      <c r="K18" s="114">
        <f t="shared" si="3"/>
        <v>34.53</v>
      </c>
      <c r="L18" s="114">
        <f t="shared" si="4"/>
        <v>4.593534103014326</v>
      </c>
      <c r="M18" s="119">
        <f t="shared" si="5"/>
        <v>0.13349416166853609</v>
      </c>
      <c r="N18" s="120">
        <f t="shared" si="6"/>
        <v>1.2639898830224467</v>
      </c>
      <c r="O18" s="120">
        <f t="shared" si="7"/>
        <v>0.77117165481143479</v>
      </c>
      <c r="P18" s="120">
        <f t="shared" si="8"/>
        <v>1.0050938727987193</v>
      </c>
    </row>
    <row r="19" spans="1:16" x14ac:dyDescent="0.2">
      <c r="A19" s="109">
        <v>52</v>
      </c>
      <c r="B19" s="110" t="s">
        <v>272</v>
      </c>
      <c r="C19" s="111" t="s">
        <v>220</v>
      </c>
      <c r="D19" s="111">
        <v>43</v>
      </c>
      <c r="E19" s="112">
        <f t="shared" si="0"/>
        <v>1017.8100000000001</v>
      </c>
      <c r="F19" s="113">
        <f>K19</f>
        <v>23.67</v>
      </c>
      <c r="G19" s="113">
        <v>23.67</v>
      </c>
      <c r="H19" s="113">
        <v>30</v>
      </c>
      <c r="I19" s="113">
        <v>20</v>
      </c>
      <c r="J19" s="114">
        <f t="shared" si="2"/>
        <v>24.56</v>
      </c>
      <c r="K19" s="114">
        <f t="shared" si="3"/>
        <v>23.67</v>
      </c>
      <c r="L19" s="114">
        <f t="shared" si="4"/>
        <v>4.1303456944371568</v>
      </c>
      <c r="M19" s="115">
        <f t="shared" si="5"/>
        <v>0.16817368462692006</v>
      </c>
      <c r="N19" s="116">
        <f t="shared" si="6"/>
        <v>0.94680000000000009</v>
      </c>
      <c r="O19" s="116">
        <f t="shared" si="7"/>
        <v>1.3739409205404167</v>
      </c>
      <c r="P19" s="116">
        <f t="shared" si="8"/>
        <v>0.74529532327184644</v>
      </c>
    </row>
    <row r="20" spans="1:16" x14ac:dyDescent="0.2">
      <c r="A20" s="123">
        <v>53</v>
      </c>
      <c r="B20" s="110" t="s">
        <v>273</v>
      </c>
      <c r="C20" s="117" t="s">
        <v>220</v>
      </c>
      <c r="D20" s="117">
        <v>43</v>
      </c>
      <c r="E20" s="118">
        <f t="shared" si="0"/>
        <v>370.22999999999996</v>
      </c>
      <c r="F20" s="113">
        <f t="shared" si="1"/>
        <v>8.61</v>
      </c>
      <c r="G20" s="113">
        <v>8.6</v>
      </c>
      <c r="H20" s="113">
        <v>8.76</v>
      </c>
      <c r="I20" s="113">
        <v>8.4600000000000009</v>
      </c>
      <c r="J20" s="114">
        <f t="shared" si="2"/>
        <v>8.61</v>
      </c>
      <c r="K20" s="114">
        <f t="shared" si="3"/>
        <v>8.6</v>
      </c>
      <c r="L20" s="114">
        <f t="shared" si="4"/>
        <v>0.1225651754056678</v>
      </c>
      <c r="M20" s="119">
        <f t="shared" si="5"/>
        <v>1.4235212009949804E-2</v>
      </c>
      <c r="N20" s="120">
        <f t="shared" si="6"/>
        <v>0.99883855981416958</v>
      </c>
      <c r="O20" s="120">
        <f t="shared" si="7"/>
        <v>1.0269636576787806</v>
      </c>
      <c r="P20" s="120">
        <f t="shared" si="8"/>
        <v>0.9746543778801845</v>
      </c>
    </row>
    <row r="21" spans="1:16" x14ac:dyDescent="0.2">
      <c r="A21" s="123">
        <v>54</v>
      </c>
      <c r="B21" s="110" t="s">
        <v>274</v>
      </c>
      <c r="C21" s="117" t="s">
        <v>220</v>
      </c>
      <c r="D21" s="117">
        <v>43</v>
      </c>
      <c r="E21" s="118">
        <f t="shared" si="0"/>
        <v>745.18999999999994</v>
      </c>
      <c r="F21" s="113">
        <f t="shared" si="1"/>
        <v>17.329999999999998</v>
      </c>
      <c r="G21" s="113">
        <v>18.5</v>
      </c>
      <c r="H21" s="113">
        <v>15.78</v>
      </c>
      <c r="I21" s="113">
        <v>17.7</v>
      </c>
      <c r="J21" s="114">
        <f t="shared" si="2"/>
        <v>17.329999999999998</v>
      </c>
      <c r="K21" s="114">
        <f t="shared" si="3"/>
        <v>17.7</v>
      </c>
      <c r="L21" s="114">
        <f t="shared" si="4"/>
        <v>1.1413831764817439</v>
      </c>
      <c r="M21" s="119">
        <f t="shared" si="5"/>
        <v>6.5861695123008893E-2</v>
      </c>
      <c r="N21" s="120">
        <f t="shared" si="6"/>
        <v>1.1051373954599761</v>
      </c>
      <c r="O21" s="120">
        <f t="shared" si="7"/>
        <v>0.87182320441988936</v>
      </c>
      <c r="P21" s="120">
        <f t="shared" si="8"/>
        <v>1.0326721120186697</v>
      </c>
    </row>
    <row r="22" spans="1:16" x14ac:dyDescent="0.2">
      <c r="A22" s="123">
        <v>55</v>
      </c>
      <c r="B22" s="110" t="s">
        <v>275</v>
      </c>
      <c r="C22" s="117" t="s">
        <v>220</v>
      </c>
      <c r="D22" s="117">
        <v>43</v>
      </c>
      <c r="E22" s="118">
        <f t="shared" si="0"/>
        <v>2767.0499999999997</v>
      </c>
      <c r="F22" s="113">
        <f>K22</f>
        <v>64.349999999999994</v>
      </c>
      <c r="G22" s="113">
        <v>104</v>
      </c>
      <c r="H22" s="113">
        <v>49.8</v>
      </c>
      <c r="I22" s="113">
        <v>64.349999999999994</v>
      </c>
      <c r="J22" s="114">
        <f t="shared" si="2"/>
        <v>72.72</v>
      </c>
      <c r="K22" s="114">
        <f t="shared" si="3"/>
        <v>64.349999999999994</v>
      </c>
      <c r="L22" s="114">
        <f t="shared" si="4"/>
        <v>22.904305757263671</v>
      </c>
      <c r="M22" s="119">
        <f t="shared" si="5"/>
        <v>0.31496570073244873</v>
      </c>
      <c r="N22" s="120">
        <f t="shared" si="6"/>
        <v>1.8221638195356988</v>
      </c>
      <c r="O22" s="120">
        <f t="shared" si="7"/>
        <v>0.59162459162459158</v>
      </c>
      <c r="P22" s="120">
        <f t="shared" si="8"/>
        <v>0.83680104031209346</v>
      </c>
    </row>
    <row r="23" spans="1:16" x14ac:dyDescent="0.2">
      <c r="A23" s="123"/>
      <c r="B23" s="110" t="s">
        <v>288</v>
      </c>
      <c r="C23" s="117" t="s">
        <v>220</v>
      </c>
      <c r="D23" s="117">
        <v>86</v>
      </c>
      <c r="E23" s="118">
        <f t="shared" ref="E23" si="9">D23*F23</f>
        <v>2700.4</v>
      </c>
      <c r="F23" s="113">
        <f>K23</f>
        <v>31.4</v>
      </c>
      <c r="G23" s="113">
        <v>31.4</v>
      </c>
      <c r="H23" s="113">
        <v>39.29</v>
      </c>
      <c r="I23" s="113">
        <v>30</v>
      </c>
      <c r="J23" s="114">
        <f t="shared" ref="J23" si="10">ROUND(AVERAGE(G23:I23),2)</f>
        <v>33.56</v>
      </c>
      <c r="K23" s="114">
        <f t="shared" ref="K23" si="11">MEDIAN(G23:I23)</f>
        <v>31.4</v>
      </c>
      <c r="L23" s="114">
        <f t="shared" ref="L23" si="12">_xlfn.STDEV.P(G23:I23)</f>
        <v>4.0895014637755329</v>
      </c>
      <c r="M23" s="119">
        <f t="shared" ref="M23" si="13">L23/J23</f>
        <v>0.12185642025552838</v>
      </c>
      <c r="N23" s="120">
        <f t="shared" ref="N23" si="14">G23/AVERAGE(H23:I23)</f>
        <v>0.90633569057584074</v>
      </c>
      <c r="O23" s="120">
        <f t="shared" ref="O23" si="15">H23/AVERAGE(G23,I23)</f>
        <v>1.2798045602605863</v>
      </c>
      <c r="P23" s="120">
        <f t="shared" ref="P23" si="16">I23/AVERAGE(G23:H23)</f>
        <v>0.84877634743245156</v>
      </c>
    </row>
    <row r="24" spans="1:16" x14ac:dyDescent="0.2">
      <c r="A24" s="109">
        <v>67</v>
      </c>
      <c r="B24" s="110" t="s">
        <v>289</v>
      </c>
      <c r="C24" s="117" t="s">
        <v>220</v>
      </c>
      <c r="D24" s="117">
        <v>86</v>
      </c>
      <c r="E24" s="112">
        <f t="shared" ref="E24:E28" si="17">D24*F24</f>
        <v>1043.18</v>
      </c>
      <c r="F24" s="113">
        <f t="shared" ref="F24:F26" si="18">IF(M24&lt;25%,J24,K24)</f>
        <v>12.13</v>
      </c>
      <c r="G24" s="113">
        <v>13.05</v>
      </c>
      <c r="H24" s="113">
        <v>13.23</v>
      </c>
      <c r="I24" s="113">
        <v>10.119999999999999</v>
      </c>
      <c r="J24" s="114">
        <f t="shared" ref="J24:J28" si="19">ROUND(AVERAGE(G24:I24),2)</f>
        <v>12.13</v>
      </c>
      <c r="K24" s="114">
        <f t="shared" ref="K24:K28" si="20">MEDIAN(G24:I24)</f>
        <v>13.05</v>
      </c>
      <c r="L24" s="114">
        <f t="shared" ref="L24:L28" si="21">_xlfn.STDEV.P(G24:I24)</f>
        <v>1.425536935879107</v>
      </c>
      <c r="M24" s="115">
        <f t="shared" ref="M24:M28" si="22">L24/J24</f>
        <v>0.11752159405433693</v>
      </c>
      <c r="N24" s="116">
        <f t="shared" ref="N24:N28" si="23">G24/AVERAGE(H24:I24)</f>
        <v>1.1177730192719486</v>
      </c>
      <c r="O24" s="116">
        <f t="shared" ref="O24:O28" si="24">H24/AVERAGE(G24,I24)</f>
        <v>1.1419939577039275</v>
      </c>
      <c r="P24" s="116">
        <f t="shared" ref="P24:P28" si="25">I24/AVERAGE(G24:H24)</f>
        <v>0.77016742770167423</v>
      </c>
    </row>
    <row r="25" spans="1:16" x14ac:dyDescent="0.2">
      <c r="A25" s="109">
        <v>68</v>
      </c>
      <c r="B25" s="110" t="s">
        <v>290</v>
      </c>
      <c r="C25" s="117" t="s">
        <v>220</v>
      </c>
      <c r="D25" s="117">
        <v>43</v>
      </c>
      <c r="E25" s="112">
        <f t="shared" si="17"/>
        <v>729.28000000000009</v>
      </c>
      <c r="F25" s="113">
        <f t="shared" si="18"/>
        <v>16.96</v>
      </c>
      <c r="G25" s="113">
        <v>17.89</v>
      </c>
      <c r="H25" s="113">
        <v>15</v>
      </c>
      <c r="I25" s="113">
        <v>18</v>
      </c>
      <c r="J25" s="114">
        <f t="shared" si="19"/>
        <v>16.96</v>
      </c>
      <c r="K25" s="114">
        <f t="shared" si="20"/>
        <v>17.89</v>
      </c>
      <c r="L25" s="114">
        <f t="shared" si="21"/>
        <v>1.3890124389491825</v>
      </c>
      <c r="M25" s="115">
        <f t="shared" si="22"/>
        <v>8.1899318334267834E-2</v>
      </c>
      <c r="N25" s="116">
        <f t="shared" si="23"/>
        <v>1.0842424242424242</v>
      </c>
      <c r="O25" s="116">
        <f t="shared" si="24"/>
        <v>0.83588743382557817</v>
      </c>
      <c r="P25" s="116">
        <f t="shared" si="25"/>
        <v>1.0945576162967467</v>
      </c>
    </row>
    <row r="26" spans="1:16" x14ac:dyDescent="0.2">
      <c r="A26" s="109">
        <v>69</v>
      </c>
      <c r="B26" s="110" t="s">
        <v>291</v>
      </c>
      <c r="C26" s="117" t="s">
        <v>220</v>
      </c>
      <c r="D26" s="117">
        <v>43</v>
      </c>
      <c r="E26" s="112">
        <f t="shared" si="17"/>
        <v>818.29000000000008</v>
      </c>
      <c r="F26" s="113">
        <f t="shared" si="18"/>
        <v>19.03</v>
      </c>
      <c r="G26" s="113">
        <v>20.8</v>
      </c>
      <c r="H26" s="113">
        <v>17.88</v>
      </c>
      <c r="I26" s="113">
        <v>18.399999999999999</v>
      </c>
      <c r="J26" s="114">
        <f t="shared" si="19"/>
        <v>19.03</v>
      </c>
      <c r="K26" s="114">
        <f t="shared" si="20"/>
        <v>18.399999999999999</v>
      </c>
      <c r="L26" s="114">
        <f t="shared" si="21"/>
        <v>1.2717791562304457</v>
      </c>
      <c r="M26" s="115">
        <f t="shared" si="22"/>
        <v>6.683022365898296E-2</v>
      </c>
      <c r="N26" s="116">
        <f t="shared" si="23"/>
        <v>1.1466372657111357</v>
      </c>
      <c r="O26" s="116">
        <f t="shared" si="24"/>
        <v>0.91224489795918351</v>
      </c>
      <c r="P26" s="116">
        <f t="shared" si="25"/>
        <v>0.95139607032057905</v>
      </c>
    </row>
    <row r="27" spans="1:16" x14ac:dyDescent="0.2">
      <c r="A27" s="109">
        <v>70</v>
      </c>
      <c r="B27" s="110" t="s">
        <v>292</v>
      </c>
      <c r="C27" s="117" t="s">
        <v>220</v>
      </c>
      <c r="D27" s="117">
        <v>43</v>
      </c>
      <c r="E27" s="112">
        <f t="shared" si="17"/>
        <v>4854.7</v>
      </c>
      <c r="F27" s="113">
        <f>K27</f>
        <v>112.9</v>
      </c>
      <c r="G27" s="121">
        <v>112.9</v>
      </c>
      <c r="H27" s="121">
        <v>109.9</v>
      </c>
      <c r="I27" s="121">
        <v>159</v>
      </c>
      <c r="J27" s="114">
        <f t="shared" si="19"/>
        <v>127.27</v>
      </c>
      <c r="K27" s="114">
        <f t="shared" si="20"/>
        <v>112.9</v>
      </c>
      <c r="L27" s="114">
        <f t="shared" si="21"/>
        <v>22.472254497985311</v>
      </c>
      <c r="M27" s="115">
        <f t="shared" si="22"/>
        <v>0.17657149758769006</v>
      </c>
      <c r="N27" s="116">
        <f t="shared" si="23"/>
        <v>0.83971736705094846</v>
      </c>
      <c r="O27" s="116">
        <f t="shared" si="24"/>
        <v>0.80838543582199351</v>
      </c>
      <c r="P27" s="116">
        <f t="shared" si="25"/>
        <v>1.4272890484739675</v>
      </c>
    </row>
    <row r="28" spans="1:16" x14ac:dyDescent="0.2">
      <c r="A28" s="109">
        <v>71</v>
      </c>
      <c r="B28" s="110" t="s">
        <v>293</v>
      </c>
      <c r="C28" s="111" t="s">
        <v>220</v>
      </c>
      <c r="D28" s="111">
        <v>172</v>
      </c>
      <c r="E28" s="112">
        <f t="shared" si="17"/>
        <v>1116.28</v>
      </c>
      <c r="F28" s="113">
        <f>K28</f>
        <v>6.49</v>
      </c>
      <c r="G28" s="113">
        <v>6.49</v>
      </c>
      <c r="H28" s="113">
        <v>6</v>
      </c>
      <c r="I28" s="113">
        <v>7.9</v>
      </c>
      <c r="J28" s="114">
        <f t="shared" si="19"/>
        <v>6.8</v>
      </c>
      <c r="K28" s="114">
        <f t="shared" si="20"/>
        <v>6.49</v>
      </c>
      <c r="L28" s="114">
        <f t="shared" si="21"/>
        <v>0.80541224778922116</v>
      </c>
      <c r="M28" s="115">
        <f t="shared" si="22"/>
        <v>0.11844297761606194</v>
      </c>
      <c r="N28" s="116">
        <f t="shared" si="23"/>
        <v>0.93381294964028783</v>
      </c>
      <c r="O28" s="116">
        <f t="shared" si="24"/>
        <v>0.83391243919388458</v>
      </c>
      <c r="P28" s="116">
        <f t="shared" si="25"/>
        <v>1.2650120096076862</v>
      </c>
    </row>
    <row r="29" spans="1:16" ht="25.5" customHeight="1" x14ac:dyDescent="0.2">
      <c r="A29" s="95"/>
      <c r="B29" s="200" t="s">
        <v>349</v>
      </c>
      <c r="C29" s="200"/>
      <c r="D29" s="200"/>
      <c r="E29" s="125">
        <f>SUM(E7:E28)</f>
        <v>70336.74000000002</v>
      </c>
      <c r="F29" s="126"/>
      <c r="G29" s="126"/>
      <c r="H29" s="126"/>
      <c r="I29" s="126"/>
      <c r="J29" s="127"/>
      <c r="K29" s="127"/>
      <c r="L29" s="127"/>
      <c r="M29" s="128"/>
    </row>
    <row r="30" spans="1:16" x14ac:dyDescent="0.2">
      <c r="C30" s="129"/>
      <c r="D30" s="129"/>
      <c r="E30" s="129"/>
      <c r="F30" s="129"/>
      <c r="J30" s="127"/>
      <c r="K30" s="127"/>
      <c r="L30" s="127"/>
    </row>
  </sheetData>
  <mergeCells count="4">
    <mergeCell ref="B29:D29"/>
    <mergeCell ref="A1:L1"/>
    <mergeCell ref="A5:M5"/>
    <mergeCell ref="N5:P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POSTO DE TRABALHO</vt:lpstr>
      <vt:lpstr>MEMÓRIA DE CÁLCULO</vt:lpstr>
      <vt:lpstr>MÓDULO 2.3</vt:lpstr>
      <vt:lpstr>MÓDULO 5</vt:lpstr>
      <vt:lpstr>MÓDULO 5 - EQUIPAMENTOS</vt:lpstr>
      <vt:lpstr>MATERIAIS SOB DEMANDA</vt:lpstr>
      <vt:lpstr>'POSTO DE TRABALHO'!Area_de_impressao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TJPI</dc:creator>
  <cp:lastModifiedBy>TJPI</cp:lastModifiedBy>
  <dcterms:created xsi:type="dcterms:W3CDTF">2023-03-31T15:55:02Z</dcterms:created>
  <dcterms:modified xsi:type="dcterms:W3CDTF">2023-07-03T19:00:19Z</dcterms:modified>
</cp:coreProperties>
</file>