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CD11DB1A-7ADD-4EA2-BEC1-57D3B45A1E0C}" xr6:coauthVersionLast="43" xr6:coauthVersionMax="43" xr10:uidLastSave="{00000000-0000-0000-0000-000000000000}"/>
  <bookViews>
    <workbookView xWindow="-120" yWindow="-120" windowWidth="20730" windowHeight="11160" tabRatio="500" xr2:uid="{00000000-000D-0000-FFFF-FFFF00000000}"/>
  </bookViews>
  <sheets>
    <sheet name="AUX. INFORMATICA " sheetId="1" r:id="rId1"/>
    <sheet name="Memoria de Cálculo" sheetId="2" r:id="rId2"/>
  </sheets>
  <definedNames>
    <definedName name="_xlnm.Print_Area" localSheetId="0">'AUX. INFORMATICA '!$A$1:$G$157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10" i="2" l="1"/>
  <c r="C128" i="1" s="1"/>
  <c r="C71" i="2"/>
  <c r="C70" i="2"/>
  <c r="C69" i="2"/>
  <c r="C95" i="1" s="1"/>
  <c r="C68" i="2"/>
  <c r="C67" i="2"/>
  <c r="C66" i="2"/>
  <c r="C72" i="2" s="1"/>
  <c r="C98" i="1" s="1"/>
  <c r="C65" i="2"/>
  <c r="C91" i="1" s="1"/>
  <c r="C64" i="2"/>
  <c r="C53" i="2"/>
  <c r="C51" i="2"/>
  <c r="C77" i="1" s="1"/>
  <c r="C43" i="2"/>
  <c r="C41" i="2"/>
  <c r="C42" i="2" s="1"/>
  <c r="C72" i="1" s="1"/>
  <c r="N35" i="2"/>
  <c r="C35" i="2"/>
  <c r="D58" i="1" s="1"/>
  <c r="N33" i="2"/>
  <c r="C33" i="2"/>
  <c r="D56" i="1" s="1"/>
  <c r="C32" i="2"/>
  <c r="I31" i="2"/>
  <c r="C10" i="2"/>
  <c r="C11" i="2" s="1"/>
  <c r="C4" i="2"/>
  <c r="D19" i="1" s="1"/>
  <c r="B142" i="1"/>
  <c r="B140" i="1"/>
  <c r="B139" i="1"/>
  <c r="B138" i="1"/>
  <c r="B137" i="1"/>
  <c r="B136" i="1"/>
  <c r="C130" i="1"/>
  <c r="C129" i="1"/>
  <c r="C126" i="1"/>
  <c r="C131" i="1" s="1"/>
  <c r="C125" i="1"/>
  <c r="D116" i="1"/>
  <c r="D119" i="1" s="1"/>
  <c r="D115" i="1"/>
  <c r="D110" i="1"/>
  <c r="D105" i="1"/>
  <c r="C104" i="1"/>
  <c r="C103" i="1"/>
  <c r="C105" i="1" s="1"/>
  <c r="C97" i="1"/>
  <c r="C96" i="1"/>
  <c r="C94" i="1"/>
  <c r="C93" i="1"/>
  <c r="C92" i="1"/>
  <c r="C90" i="1"/>
  <c r="C79" i="1"/>
  <c r="C73" i="1"/>
  <c r="C71" i="1"/>
  <c r="C74" i="1" s="1"/>
  <c r="D59" i="1"/>
  <c r="D57" i="1"/>
  <c r="D55" i="1"/>
  <c r="C50" i="1"/>
  <c r="C49" i="1"/>
  <c r="C48" i="1"/>
  <c r="C47" i="1"/>
  <c r="C46" i="1"/>
  <c r="C45" i="1"/>
  <c r="C44" i="1"/>
  <c r="C43" i="1"/>
  <c r="D17" i="1"/>
  <c r="D140" i="1" l="1"/>
  <c r="C12" i="2"/>
  <c r="C13" i="2" s="1"/>
  <c r="C37" i="1"/>
  <c r="D54" i="1"/>
  <c r="D60" i="1" s="1"/>
  <c r="D66" i="1" s="1"/>
  <c r="D25" i="1"/>
  <c r="D32" i="1" s="1"/>
  <c r="D91" i="1" s="1"/>
  <c r="C52" i="2"/>
  <c r="C78" i="1" s="1"/>
  <c r="C36" i="1"/>
  <c r="C99" i="1"/>
  <c r="C51" i="1"/>
  <c r="D71" i="1" l="1"/>
  <c r="D96" i="1"/>
  <c r="D92" i="1"/>
  <c r="D90" i="1"/>
  <c r="D97" i="1"/>
  <c r="D93" i="1"/>
  <c r="D50" i="1"/>
  <c r="D48" i="1"/>
  <c r="D46" i="1"/>
  <c r="D44" i="1"/>
  <c r="D136" i="1"/>
  <c r="D95" i="1"/>
  <c r="D36" i="1"/>
  <c r="D78" i="1"/>
  <c r="D73" i="1"/>
  <c r="D77" i="1"/>
  <c r="D80" i="1" s="1"/>
  <c r="D85" i="1" s="1"/>
  <c r="D49" i="1"/>
  <c r="D37" i="1"/>
  <c r="D38" i="1" s="1"/>
  <c r="D39" i="1" s="1"/>
  <c r="D40" i="1" s="1"/>
  <c r="D64" i="1" s="1"/>
  <c r="C38" i="1"/>
  <c r="C39" i="1" s="1"/>
  <c r="C40" i="1" s="1"/>
  <c r="D94" i="1"/>
  <c r="D43" i="1"/>
  <c r="D72" i="1"/>
  <c r="D47" i="1"/>
  <c r="C80" i="1"/>
  <c r="D45" i="1"/>
  <c r="D79" i="1"/>
  <c r="D98" i="1" l="1"/>
  <c r="D99" i="1" s="1"/>
  <c r="D109" i="1" s="1"/>
  <c r="D111" i="1" s="1"/>
  <c r="D67" i="1"/>
  <c r="D137" i="1" s="1"/>
  <c r="D51" i="1"/>
  <c r="D65" i="1" s="1"/>
  <c r="D74" i="1"/>
  <c r="D84" i="1" s="1"/>
  <c r="D86" i="1" s="1"/>
  <c r="D138" i="1" s="1"/>
  <c r="D139" i="1" l="1"/>
  <c r="D141" i="1" s="1"/>
  <c r="D121" i="1"/>
  <c r="D125" i="1" s="1"/>
  <c r="D126" i="1" l="1"/>
  <c r="D130" i="1" l="1"/>
  <c r="D129" i="1"/>
  <c r="D128" i="1"/>
  <c r="D131" i="1" l="1"/>
  <c r="D142" i="1" s="1"/>
  <c r="D143" i="1" s="1"/>
  <c r="C147" i="1" s="1"/>
  <c r="E147" i="1" s="1"/>
  <c r="G147" i="1" s="1"/>
  <c r="C153" i="1" l="1"/>
  <c r="G148" i="1"/>
  <c r="C154" i="1"/>
  <c r="C1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F91" authorId="0" shapeId="0" xr:uid="{00000000-0006-0000-0100-000001000000}">
      <text>
        <r>
          <rPr>
            <b/>
            <sz val="12"/>
            <color rgb="FF000000"/>
            <rFont val="Tahoma"/>
            <family val="2"/>
            <charset val="1"/>
          </rPr>
          <t>Contrato de Aux Gestão</t>
        </r>
      </text>
    </comment>
    <comment ref="G91" authorId="0" shapeId="0" xr:uid="{00000000-0006-0000-0100-000002000000}">
      <text>
        <r>
          <rPr>
            <b/>
            <sz val="12"/>
            <color rgb="FF000000"/>
            <rFont val="Tahoma"/>
            <family val="2"/>
            <charset val="1"/>
          </rPr>
          <t>Contrato de Motoboy</t>
        </r>
      </text>
    </comment>
    <comment ref="H91" authorId="0" shapeId="0" xr:uid="{00000000-0006-0000-0100-000003000000}">
      <text>
        <r>
          <rPr>
            <b/>
            <sz val="12"/>
            <color rgb="FF000000"/>
            <rFont val="Tahoma"/>
            <family val="2"/>
            <charset val="1"/>
          </rPr>
          <t>Contrato de Motoristas - Adesão</t>
        </r>
      </text>
    </comment>
  </commentList>
</comments>
</file>

<file path=xl/sharedStrings.xml><?xml version="1.0" encoding="utf-8"?>
<sst xmlns="http://schemas.openxmlformats.org/spreadsheetml/2006/main" count="442" uniqueCount="271">
  <si>
    <t xml:space="preserve">Categoria profissional: </t>
  </si>
  <si>
    <t xml:space="preserve">Auxiliar de Informatica </t>
  </si>
  <si>
    <t>Discriminação dos Serviços</t>
  </si>
  <si>
    <t>A</t>
  </si>
  <si>
    <t>Data de apresentação da proposta</t>
  </si>
  <si>
    <t>B</t>
  </si>
  <si>
    <t>Município</t>
  </si>
  <si>
    <t>TERESINA</t>
  </si>
  <si>
    <t>C</t>
  </si>
  <si>
    <t>Ano do Acordo, Convenção ou Dissídio Coletivo</t>
  </si>
  <si>
    <t>PI000011/2022</t>
  </si>
  <si>
    <t>D</t>
  </si>
  <si>
    <t>Nº de meses de execução contratual</t>
  </si>
  <si>
    <t>Identificação do Serviço</t>
  </si>
  <si>
    <t xml:space="preserve">Tipo de Serviço: </t>
  </si>
  <si>
    <t xml:space="preserve">Apoio Administrativo </t>
  </si>
  <si>
    <t xml:space="preserve">Unidade de Medida: </t>
  </si>
  <si>
    <t xml:space="preserve">Posto </t>
  </si>
  <si>
    <t xml:space="preserve">Quantidade total a contratar (em função da unidade de medida): 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</si>
  <si>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</si>
  <si>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</si>
  <si>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</si>
  <si>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4110-10</t>
  </si>
  <si>
    <t>Salário Nominativo da Categoria Profissional</t>
  </si>
  <si>
    <t>Categoria profissional (vinculada à execução contratual)</t>
  </si>
  <si>
    <t xml:space="preserve">Aux. De Informatica </t>
  </si>
  <si>
    <t>Data base da categoria (dia/mês/ano)</t>
  </si>
  <si>
    <t>MÓDULO 1 - COMPOSIÇÃO DA REMUNERAÇÃO</t>
  </si>
  <si>
    <t>COMPOSIÇÃO DA REMUNERAÇÃO</t>
  </si>
  <si>
    <t>%</t>
  </si>
  <si>
    <t>VALOR (R$)</t>
  </si>
  <si>
    <t>Salário Base</t>
  </si>
  <si>
    <t xml:space="preserve">Adicional Periculosidade </t>
  </si>
  <si>
    <t>Adicional Insalubridade</t>
  </si>
  <si>
    <t>Adicional Noturno</t>
  </si>
  <si>
    <t>E</t>
  </si>
  <si>
    <t>Adicional de Hora Noturna Reduzida</t>
  </si>
  <si>
    <t>F</t>
  </si>
  <si>
    <t>Adicional de Hora Extra no Feriado Trabalhado</t>
  </si>
  <si>
    <t>G</t>
  </si>
  <si>
    <t>Outros (especificar)</t>
  </si>
  <si>
    <t>TOTAL DO MÓDULO 1</t>
  </si>
  <si>
    <t>MÓDULO 2 – ENCARGOS E BENEFÍCIOS ANUAIS, MENSAIS E DIÁRIOS</t>
  </si>
  <si>
    <t>Submódulo 2.1 - 13º Salário, Férias e Adicional de Férias</t>
  </si>
  <si>
    <r>
      <rPr>
        <sz val="11"/>
        <rFont val="Arial"/>
        <family val="2"/>
        <charset val="1"/>
      </rPr>
      <t>13 (Décimo-terceiro) salário</t>
    </r>
    <r>
      <rPr>
        <sz val="11"/>
        <color rgb="FFFF0000"/>
        <rFont val="Arial"/>
        <family val="2"/>
        <charset val="1"/>
      </rPr>
      <t xml:space="preserve"> </t>
    </r>
  </si>
  <si>
    <t>Adicional de Férias</t>
  </si>
  <si>
    <t>TOTAL A + B</t>
  </si>
  <si>
    <t>Incidência do Submódulo 2.2 sobre o TOTAL A + B (Revogado)</t>
  </si>
  <si>
    <t>TOTAL SUBMÓDULO 2.1</t>
  </si>
  <si>
    <t>Submódulo 2.2 - GPS, FGTS e Outras Contribuições</t>
  </si>
  <si>
    <t xml:space="preserve">INSS </t>
  </si>
  <si>
    <t xml:space="preserve">Salário Educação </t>
  </si>
  <si>
    <t>SAT (Seguro Acidente de Trabalho)</t>
  </si>
  <si>
    <t>SESC ou SESI</t>
  </si>
  <si>
    <t xml:space="preserve">SENAI - SENAC </t>
  </si>
  <si>
    <t xml:space="preserve">SEBRAE </t>
  </si>
  <si>
    <t xml:space="preserve">INCRA </t>
  </si>
  <si>
    <t>H</t>
  </si>
  <si>
    <t xml:space="preserve">FGTS </t>
  </si>
  <si>
    <t>TOTAL SUBMÓDULO 2.2</t>
  </si>
  <si>
    <t>Submódulo 2.3 - Benefícios Mensais e Diários</t>
  </si>
  <si>
    <t>Transporte - Valor da Passagem R$4,00.</t>
  </si>
  <si>
    <t>Auxílio alimentação (vales, cesta básica, entre outros)</t>
  </si>
  <si>
    <t>Assistência médica e familiar (40% a cargo do empregador conforme convenção coletiva 2022/2022 registrada no MTE sob o nº PI000011/2022)</t>
  </si>
  <si>
    <t>Auxílio creche</t>
  </si>
  <si>
    <t>Seguro de vida, invalidez e funeral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</si>
  <si>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</si>
  <si>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</si>
  <si>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</si>
  <si>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</si>
  <si>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13º Salário, Férias e Adicional de Férias</t>
  </si>
  <si>
    <t>2.2</t>
  </si>
  <si>
    <t>GPS, FGTS e Outras Contribuições</t>
  </si>
  <si>
    <t>2.3</t>
  </si>
  <si>
    <t>Benefícios Mensais e Diários</t>
  </si>
  <si>
    <t>TOTAL DO MÓDULO 2</t>
  </si>
  <si>
    <t>MÓDULO 3 – PROVISÃO PARA RESCISÃO</t>
  </si>
  <si>
    <t>Submódulo 3.1 - Aviso Prévio Indenizado.</t>
  </si>
  <si>
    <t>Aviso Prévio Indenizado</t>
  </si>
  <si>
    <t>Incidência do FGTS sobre Aviso Prévio Indenizado</t>
  </si>
  <si>
    <t>Multa do FGTS e Contribuição Social sobre o Aviso Prévio Indenizado</t>
  </si>
  <si>
    <t>TOTAL SUBMÓDULO 3.1</t>
  </si>
  <si>
    <t>Submódulo 3.2 - Aviso Prévio Trabalhado</t>
  </si>
  <si>
    <t xml:space="preserve">Aviso Prévio Trabalhado </t>
  </si>
  <si>
    <t>Incidência dos encargos do submódulo 2.2 sobre Aviso Prévio Trabalhado</t>
  </si>
  <si>
    <t xml:space="preserve">Multa do FGTS e Contribuição Social sobre o Aviso Prévio Trabalhado. </t>
  </si>
  <si>
    <t>TOTAL SUBMÓDULO 3.2</t>
  </si>
  <si>
    <t>QUADRO-RESUMO DO MÓDULO 3 -  PROVISÃO PARA RESCISÃO</t>
  </si>
  <si>
    <t>MÓDULO 3 -  PROVISÃO PARA RESCISÃO</t>
  </si>
  <si>
    <t>3.1</t>
  </si>
  <si>
    <t>Aviso Prévio Indenizado.</t>
  </si>
  <si>
    <t>3.2</t>
  </si>
  <si>
    <t>Aviso Prévio Trabalhado</t>
  </si>
  <si>
    <t>TOTAL DO MÓDULO 3</t>
  </si>
  <si>
    <t>MÓDULO 4 – CUSTO DE REPOSIÇÃO DO PROFISSIONAL AUSENTE</t>
  </si>
  <si>
    <t>Submódulo 4.1 - Ausências Legais</t>
  </si>
  <si>
    <t xml:space="preserve">Substituto nas Férias </t>
  </si>
  <si>
    <t>Incidência do Submódulo 2.2 sobre Férias</t>
  </si>
  <si>
    <t>Ausência Justificada</t>
  </si>
  <si>
    <t>Ausências Legais</t>
  </si>
  <si>
    <t>Ausência por Doença</t>
  </si>
  <si>
    <t>Licença Paternidade</t>
  </si>
  <si>
    <t>Ausência por Acidente de Trabalho</t>
  </si>
  <si>
    <t>Afastamento Maternidade</t>
  </si>
  <si>
    <t>I</t>
  </si>
  <si>
    <t>Incidência do Submódulo 2.2 sobre os itens C, D, E, F, G, H do submódulo 4.1</t>
  </si>
  <si>
    <t>TOTAL SUBMÓDULO 4.1</t>
  </si>
  <si>
    <t>Submódulo 4.2 - Intrajornada</t>
  </si>
  <si>
    <t>Intervalo para Repouso ou Alimentação</t>
  </si>
  <si>
    <t>Incidência do Submódulo 2.2 sobre 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</si>
  <si>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</si>
  <si>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</si>
  <si>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</si>
  <si>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</si>
  <si>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</si>
  <si>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Intrajornada</t>
  </si>
  <si>
    <t>TOTAL DO MÓDULO 4</t>
  </si>
  <si>
    <t>MÓDULO 5 – INSUMOS DIVERSOS</t>
  </si>
  <si>
    <t>INSUMOS DIVERSOS</t>
  </si>
  <si>
    <t xml:space="preserve">Uniformes </t>
  </si>
  <si>
    <t>Materiais</t>
  </si>
  <si>
    <t>Equipamentos</t>
  </si>
  <si>
    <t>TOTAL DO MÓDULO 5</t>
  </si>
  <si>
    <t>SOMA DOS MÓDULOS 1, 2, 3, 4, 5</t>
  </si>
  <si>
    <t>MÓDULO 6 – CUSTOS INDIRETOS, TRIBUTOS E LUCRO</t>
  </si>
  <si>
    <t>CUSTOS INDIRETOS, TRIBUTOS E LUCRO</t>
  </si>
  <si>
    <t>Custos Indiretos</t>
  </si>
  <si>
    <t>Lucro</t>
  </si>
  <si>
    <t>TRIBUTOS</t>
  </si>
  <si>
    <t>C.1. Tributos federais : PIS=1,65% e COFINS=7,60%</t>
  </si>
  <si>
    <t>C.2  Tributos estaduais (especificar)</t>
  </si>
  <si>
    <t>C.3  Tributos municipais  : ISSQN=5,00%</t>
  </si>
  <si>
    <t>TOTAL DO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</si>
  <si>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</si>
  <si>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</si>
  <si>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</si>
  <si>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</si>
  <si>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>Quadro Resumo - VALOR MENSAL DOS SERVIÇOS</t>
  </si>
  <si>
    <t> Tipo de serviço (A)</t>
  </si>
  <si>
    <t>Valor proposto por empregado
(B)</t>
  </si>
  <si>
    <t>Qtde. de empregados por posto
 (C)</t>
  </si>
  <si>
    <t>Valor proposto por posto
 (D) = (B x C)</t>
  </si>
  <si>
    <t>Qtde. de postos
(E)</t>
  </si>
  <si>
    <t>Valor total do serviço
(F) = (D x E)</t>
  </si>
  <si>
    <t xml:space="preserve">AUX. DE INFORMATICA </t>
  </si>
  <si>
    <t>VALOR MENSAL DOS SERVIÇOS</t>
  </si>
  <si>
    <t>QUADRO DEMONSTRATIVO - VALOR GLOBAL DA PROPOSTA</t>
  </si>
  <si>
    <t>VALOR GLOBAL DA PROPOSTA</t>
  </si>
  <si>
    <t>Descrição</t>
  </si>
  <si>
    <t>Valor (R$)</t>
  </si>
  <si>
    <t>Valor proposto por unidade de medida</t>
  </si>
  <si>
    <t>Valor mensal do serviço</t>
  </si>
  <si>
    <t>Valor Global da Proposta (Valor mensal do serviço multiplicado por 30 meses do contrato)</t>
  </si>
  <si>
    <t>Módulo 1: Composição da remuneração Salário Base</t>
  </si>
  <si>
    <t xml:space="preserve">AUXILIAR DE INFORMATICA </t>
  </si>
  <si>
    <t>Estado</t>
  </si>
  <si>
    <t>Piauí</t>
  </si>
  <si>
    <t>Salário base estabelecido na CCT: PI000011/2022. *1.4</t>
  </si>
  <si>
    <t>Módulo 2: Benefícios mensais e diários</t>
  </si>
  <si>
    <t>Submódulo 2.1 : 13º (décimo terceiro) salário e adicional de férias</t>
  </si>
  <si>
    <t>Item</t>
  </si>
  <si>
    <t>Memória de cálculo</t>
  </si>
  <si>
    <t>Fundamento</t>
  </si>
  <si>
    <t>13º Salário</t>
  </si>
  <si>
    <t>[(1/12)x100]</t>
  </si>
  <si>
    <t xml:space="preserve"> Art. 7º, inciso VIII da  Constituição Federal e Parágrafo único , Art. 1º Dec. 57155/65</t>
  </si>
  <si>
    <t>[(1/12)/3x100]</t>
  </si>
  <si>
    <t>Só provisiona o adicional - Art. 7º, inciso XVII da Constituição Federal</t>
  </si>
  <si>
    <t>Total submódulo 2.1</t>
  </si>
  <si>
    <t>Incidência do Submódulo 2.2 sobre o Total do Submódulo 2.1</t>
  </si>
  <si>
    <t xml:space="preserve">Submódulo 2.2 : Encargos Previdenciários (GPS), Fundo de Garantia por Tempo
de Serviço (FGTS) e outras contribuições.
</t>
  </si>
  <si>
    <t>Memória de Cálculo</t>
  </si>
  <si>
    <t>INSS</t>
  </si>
  <si>
    <t>-</t>
  </si>
  <si>
    <t>Art. 22, Inciso I, da Lei nº 8.212/91.</t>
  </si>
  <si>
    <t>Salário Educação</t>
  </si>
  <si>
    <t>Art. 3º, Inciso I, Decreto n.º 87.043/82.</t>
  </si>
  <si>
    <t>Riscos Ambientais do Trabalho RAT X FAP:</t>
  </si>
  <si>
    <t>Art. 3º, Lei n.º 8.036/90.</t>
  </si>
  <si>
    <t>SENAI - SENAC</t>
  </si>
  <si>
    <t>Decreto n.º 2.318/86.</t>
  </si>
  <si>
    <t>SEBRAE</t>
  </si>
  <si>
    <t>Art. 8º, Lei n.º 8.029/90 e Lei n.º 8.154/90.</t>
  </si>
  <si>
    <t>INCRA</t>
  </si>
  <si>
    <t>Lei n.º 7.787/89 e DL n.º 1.146/70.</t>
  </si>
  <si>
    <t>FGTS</t>
  </si>
  <si>
    <t>Art. 15, Lei nº 8.030/90 e Art. 7º, III, CF.</t>
  </si>
  <si>
    <t>Total dos Encargos do submódulo 2.2</t>
  </si>
  <si>
    <t>C – Riscos Ambientais do Trabalho RAT X FAP:
RAT x FAP, em que:
RAT – Varia de acordo coma atividade preponderante aplicação do código CNAE ao Anexo V do Decreto n.º 3.048/1999, de 1% a 3%)
FAP – varia de 0,5 a 2,000, mas adota-se o maior valor possível para o exercício, conforme Decreto n.º 6.957/2009.</t>
  </si>
  <si>
    <t xml:space="preserve">Observação: A licitante deve preencher o item "C" das planilhas de composição de custos e formação de preços com o valor de seu FAP, a ser comprovado no envio de sua proposta adequada ao lance vencedor, mediante apresentação da GFIP ou outro documento apto a fazê-lo.  </t>
  </si>
  <si>
    <t>PROPOSTAS DAS EMPRESAS</t>
  </si>
  <si>
    <t>Submódulo 2.3 : Encargos Sociais e trabalhistas</t>
  </si>
  <si>
    <t xml:space="preserve">AUX. DE GESTÃO </t>
  </si>
  <si>
    <t xml:space="preserve">MUTUAL </t>
  </si>
  <si>
    <t>SERVFAZ</t>
  </si>
  <si>
    <t>MÉDIA</t>
  </si>
  <si>
    <t>Transporte</t>
  </si>
  <si>
    <t>(4,00 x 2 x 22) - (0,06 x Salário Base)</t>
  </si>
  <si>
    <t>O vale transporte foi baseado no preço da passagem, trajeto de ida e volta residência/TJPI com uma integração, do transporte coletivo da respectiva capital do estado do Piauí. E permite uma dedução do valor do vale-transporte de 6% que está de acordo com a lei nº 7.418/85 (desconto máximo de 6% do salário-base - Módulo 1 A) (Decreto Municipal de nº 18.230/2019)</t>
  </si>
  <si>
    <r>
      <rPr>
        <sz val="11"/>
        <rFont val="Times New Roman"/>
        <family val="1"/>
        <charset val="1"/>
      </rPr>
      <t xml:space="preserve">O valor do auxílio-alimentação foi calculado com nos valores estabelecidos na Convenção Coletiva da Categoria 2022/2022 registrada no MTE sob o nº  </t>
    </r>
    <r>
      <rPr>
        <b/>
        <sz val="11"/>
        <rFont val="Times New Roman"/>
        <family val="1"/>
        <charset val="1"/>
      </rPr>
      <t xml:space="preserve">PI000011/2022. Multiplicado por 1,4. </t>
    </r>
  </si>
  <si>
    <t>Assistência médica e familiar (40% a cargo do empregador conforme convenção coletiva 2022/2022 registrada no MTE sob o nº PI00011/2022)</t>
  </si>
  <si>
    <t>Módulo 3: Provisão para rescisão</t>
  </si>
  <si>
    <t>Submódulo 3.1 – Aviso Prévio Indenizado.</t>
  </si>
  <si>
    <r>
      <rPr>
        <b/>
        <sz val="11"/>
        <color rgb="FF000000"/>
        <rFont val="Times New Roman"/>
        <family val="1"/>
        <charset val="1"/>
      </rPr>
      <t>Aviso Prévio Indenizado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</si>
  <si>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{[10% x(1/12)]x100} = 0,833%</t>
  </si>
  <si>
    <t>Art. 7º, XXI, CF/88, 477, 487 e 491 CLT</t>
  </si>
  <si>
    <t>0,08 x {[10%x(1/12)]x100}= 0,067%</t>
  </si>
  <si>
    <t>Súmula n.º 305 do TST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</si>
  <si>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Indenizado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</si>
  <si>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10% x [ 1 + (1/12)+(1/12) + (1/3x1/12)+1/12 ] x 100}</t>
  </si>
  <si>
    <t>Residual da Portaria TJ/PI Nº 1.795/2016</t>
  </si>
  <si>
    <t>Total do Submódulo 3.1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</si>
  <si>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 Estimativa de que 10% (cinco por cento) dos funcionários serão demitidos sem justa causa por aviso prévio indenizado, sendo este percentual o resíduo da diferença entre o total de demissões e as demissões por aviso prévio trabalhado que é de 90%, conforme previsão na multa do FGTS presente na portaria de conta vinculada TJ/PI Nº 1.795/2016.</t>
    </r>
  </si>
  <si>
    <r>
      <rPr>
        <vertAlign val="superscript"/>
        <sz val="11"/>
        <color rgb="FF000000"/>
        <rFont val="Times New Roman"/>
        <family val="1"/>
        <charset val="1"/>
      </rPr>
      <t xml:space="preserve">2 </t>
    </r>
    <r>
      <rPr>
        <sz val="11"/>
        <color rgb="FF000000"/>
        <rFont val="Times New Roman"/>
        <family val="1"/>
        <charset val="1"/>
      </rPr>
      <t xml:space="preserve"> Cálculo leva em consideração o total dos depósitos de FGTS que seriam feitos (FGTS sobre salário + 13º apropriado 1/12 + ferias apropriada 1/12 + 1/3 de ferias apropriado 1/12 + o salário indenizado apropriado 1/12). A previsão de Multa do FGTS foi realizada sobre estimativa de que 10% dos funcionários que serão despedidos sem justa causa  por aviso prévio Indenizado, sendo este percentual resíduo do que está vinculado ao Aviso Prévio Trabalhado por força da  Portaria TJ/PI Nº 1.795/2016</t>
    </r>
  </si>
  <si>
    <t>Submódulo 3.2 – Aviso Prévio Trabalhado.</t>
  </si>
  <si>
    <r>
      <rPr>
        <b/>
        <sz val="11"/>
        <color rgb="FF000000"/>
        <rFont val="Times New Roman"/>
        <family val="1"/>
        <charset val="1"/>
      </rPr>
      <t>Aviso Prévio Trabalhado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</si>
  <si>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>{[(7/30)/12]x100} = 1,944%</t>
  </si>
  <si>
    <t>Art. 7º, XXI, CF/88, 477, 487 e 491 CLT.</t>
  </si>
  <si>
    <t>{[(7/30)/12]x100}  x Total do submódulo 2.2</t>
  </si>
  <si>
    <r>
      <rPr>
        <b/>
        <sz val="11"/>
        <color rgb="FF000000"/>
        <rFont val="Times New Roman"/>
        <family val="1"/>
        <charset val="1"/>
      </rPr>
      <t>Multa do FGTS e Contribuição Social sobre o Aviso Prévio Trabalhado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</si>
  <si>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{0,08 x 0,5 x 0,9 x [1 + 1/12 + (1/12 + 1/3*1/12)] x 100}</t>
  </si>
  <si>
    <t>Portaria (Presidência) nº 2845/2019</t>
  </si>
  <si>
    <t>Total do Submódulo 3.2</t>
  </si>
  <si>
    <r>
      <rPr>
        <vertAlign val="superscript"/>
        <sz val="11"/>
        <color rgb="FF000000"/>
        <rFont val="Times New Roman"/>
        <family val="1"/>
        <charset val="1"/>
      </rPr>
      <t>1</t>
    </r>
    <r>
      <rPr>
        <sz val="11"/>
        <color rgb="FF000000"/>
        <rFont val="Times New Roman"/>
        <family val="1"/>
        <charset val="1"/>
      </rPr>
      <t xml:space="preserve"> Redução de 7 dias ou de 2h por dia. Percentual relativo a contrato de 12 (doze) meses.</t>
    </r>
  </si>
  <si>
    <r>
      <rPr>
        <vertAlign val="superscript"/>
        <sz val="11"/>
        <color rgb="FF000000"/>
        <rFont val="Times New Roman"/>
        <family val="1"/>
        <charset val="1"/>
      </rPr>
      <t>2</t>
    </r>
    <r>
      <rPr>
        <sz val="11"/>
        <color rgb="FF000000"/>
        <rFont val="Times New Roman"/>
        <family val="1"/>
        <charset val="1"/>
      </rPr>
      <t xml:space="preserve"> Multa do FGTS sobre os funcionários  despedidos sem justa por aviso prévio trabalhado , sendo o percentual vinculado e imutável por força da  Portaria TJ/PI Nº 1.795/2016</t>
    </r>
  </si>
  <si>
    <t>Módulo 4:  Custo de reposição do profissional ausente</t>
  </si>
  <si>
    <t>Substituto das Férias</t>
  </si>
  <si>
    <t>Art. 129 da CLT</t>
  </si>
  <si>
    <r>
      <rPr>
        <b/>
        <sz val="11"/>
        <color rgb="FF000000"/>
        <rFont val="Times New Roman"/>
        <family val="1"/>
        <charset val="1"/>
      </rPr>
      <t>Ausência Justificada</t>
    </r>
    <r>
      <rPr>
        <b/>
        <vertAlign val="superscript"/>
        <sz val="11"/>
        <color rgb="FF000000"/>
        <rFont val="Times New Roman"/>
        <family val="1"/>
        <charset val="1"/>
      </rPr>
      <t>1</t>
    </r>
  </si>
  <si>
    <t xml:space="preserve">{[((1 x 1 )/30)/12]x100} </t>
  </si>
  <si>
    <t>Estudo FIA 2014/15.</t>
  </si>
  <si>
    <r>
      <rPr>
        <b/>
        <sz val="11"/>
        <color rgb="FF000000"/>
        <rFont val="Times New Roman"/>
        <family val="1"/>
        <charset val="1"/>
      </rPr>
      <t>Ausências Legais</t>
    </r>
    <r>
      <rPr>
        <b/>
        <vertAlign val="superscript"/>
        <sz val="11"/>
        <color rgb="FF000000"/>
        <rFont val="Times New Roman"/>
        <family val="1"/>
        <charset val="1"/>
      </rPr>
      <t>2</t>
    </r>
  </si>
  <si>
    <t>{[(0,1344*2+0,0305*2*(252/365)+0,0118*3+0,02*1+0,004*1+0,0016*6)/30]/12}</t>
  </si>
  <si>
    <t>incisos I, II, IV,VIII,X, XI do art. 473 da CLT</t>
  </si>
  <si>
    <r>
      <rPr>
        <b/>
        <sz val="11"/>
        <color rgb="FF000000"/>
        <rFont val="Times New Roman"/>
        <family val="1"/>
        <charset val="1"/>
      </rPr>
      <t>Ausência por Doença</t>
    </r>
    <r>
      <rPr>
        <b/>
        <vertAlign val="superscript"/>
        <sz val="11"/>
        <color rgb="FF000000"/>
        <rFont val="Times New Roman"/>
        <family val="1"/>
        <charset val="1"/>
      </rPr>
      <t>3</t>
    </r>
  </si>
  <si>
    <t>{[1*5*(252/365)]/30}/12</t>
  </si>
  <si>
    <t>Art. 59 a 64 da Lei n.º 8.213/91.</t>
  </si>
  <si>
    <r>
      <rPr>
        <b/>
        <sz val="11"/>
        <color rgb="FF000000"/>
        <rFont val="Times New Roman"/>
        <family val="1"/>
        <charset val="1"/>
      </rPr>
      <t>Licença Paternidade</t>
    </r>
    <r>
      <rPr>
        <b/>
        <vertAlign val="superscript"/>
        <sz val="11"/>
        <color rgb="FF000000"/>
        <rFont val="Times New Roman"/>
        <family val="1"/>
        <charset val="1"/>
      </rPr>
      <t>4</t>
    </r>
  </si>
  <si>
    <t>[(5/30)/12]*0,0143*(252/365)</t>
  </si>
  <si>
    <t>Art. 7º, XIX, CF/88 e 10, § 1º, da CLT e inciso II do art. 1º da Lei nº 11.770, de 9 de setembro de 2008</t>
  </si>
  <si>
    <r>
      <rPr>
        <b/>
        <sz val="11"/>
        <color rgb="FF000000"/>
        <rFont val="Times New Roman"/>
        <family val="1"/>
        <charset val="1"/>
      </rPr>
      <t>Ausência por Acidente de Trabalho</t>
    </r>
    <r>
      <rPr>
        <b/>
        <vertAlign val="superscript"/>
        <sz val="11"/>
        <rFont val="Times New Roman"/>
        <family val="1"/>
        <charset val="1"/>
      </rPr>
      <t>5</t>
    </r>
  </si>
  <si>
    <t>{{(15/30)/12*(0,0922*(252/365)]}</t>
  </si>
  <si>
    <t>§ 2º do art. 43 da Lei 8.213, de 24 de julho de 1991.</t>
  </si>
  <si>
    <r>
      <rPr>
        <b/>
        <sz val="11"/>
        <color rgb="FF000000"/>
        <rFont val="Times New Roman"/>
        <family val="1"/>
        <charset val="1"/>
      </rPr>
      <t>Afastamento Maternidade</t>
    </r>
    <r>
      <rPr>
        <b/>
        <vertAlign val="superscript"/>
        <sz val="11"/>
        <color rgb="FF000000"/>
        <rFont val="Times New Roman"/>
        <family val="1"/>
        <charset val="1"/>
      </rPr>
      <t>6</t>
    </r>
  </si>
  <si>
    <t>{[1+(1/3))*((4/12))/12*(0,0197*(252/365)]}</t>
  </si>
  <si>
    <t>Impacto do item férias sobre a licença maternidade, visto que a licença é paga pelo INSS e não gera custo e reposição, inciso I do art. 1º da Lei nº 11.770, de 9 de setembro de 2008</t>
  </si>
  <si>
    <t>Total Submódulo 4.1</t>
  </si>
  <si>
    <r>
      <rPr>
        <sz val="11"/>
        <color rgb="FF000000"/>
        <rFont val="Times New Roman"/>
        <family val="1"/>
        <charset val="1"/>
      </rPr>
      <t xml:space="preserve">1 Média estimada (1x1=1) de ausência justificada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</si>
  <si>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2 Média estimada {(0,1344x2)+(0,0305x2x(252/365))+(0,0118x3)+(0,02x1)+(0,004x1)+(0,0016x6)}= 0,3808 dias de ausências legais,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</si>
  <si>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3 Média estimada (1 x 5 x 252/365 = 3,4521) de ausência por doença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</si>
  <si>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t>4 Estimativa de 5 (cinco) dias da licença por ano combinada com a estimativa (0,0143 x 252/365) = 0,00987288 presente na página 17 do Caderno de Estudo sobre a Composição dos Custos dos Valores Limites dos Serviços de Serviços de Limpeza e Conservação do Piauí.  Disponível no Link https://https://www.gov.br/compras/pt-br/agente-publico/cadernos-tecnicos-e-valores-limites/cts-2019/ct_lim_pi_2019.pdf. A estatimativa foi alterada de 20 para 5 dias, pois mesmo que a empresa faça a opção pelo Programa empresa Cidadã. a despesa é dedutível do IRPJ em função do art. 5º da Lei 11.770/2008 não havendo custo de reposição.</t>
  </si>
  <si>
    <r>
      <rPr>
        <sz val="11"/>
        <color rgb="FF000000"/>
        <rFont val="Times New Roman"/>
        <family val="1"/>
        <charset val="1"/>
      </rPr>
      <t xml:space="preserve">5  Estimativa de 15 (quinze) dias por ano combinada com estimativa (0,0922x252/365=0,063656)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</si>
  <si>
    <r>
      <rPr>
        <sz val="11"/>
        <color rgb="FF000000"/>
        <rFont val="Times New Roman"/>
        <family val="1"/>
        <charset val="1"/>
      </rPr>
      <t xml:space="preserve">6 Estimativa de 0,0136011 (0,0197x252/365)) dos empregados usufruindo de 4 (quatro) meses de licença por ano conforme página 17 do Caderno de Estudo sobre a Composição dos Custos dos Valores Limites dos Serviços de Serviços de Limpeza e Conservação do Piauí.  Disponível no Link </t>
    </r>
    <r>
      <rPr>
        <b/>
        <sz val="11"/>
        <color rgb="FF000000"/>
        <rFont val="Times New Roman"/>
        <family val="1"/>
        <charset val="1"/>
      </rPr>
      <t>https://https://www.gov.br/compras/pt-br/agente-publico/cadernos-tecnicos-e-valores-limites/cts-2019/ct_lim_pi_2019.pdf</t>
    </r>
    <r>
      <rPr>
        <sz val="11"/>
        <color rgb="FF000000"/>
        <rFont val="Times New Roman"/>
        <family val="1"/>
        <charset val="1"/>
      </rPr>
      <t>. A estatística foi alterada de 180 dias ( 6 meses ) para 120 dias (4 meses), pois mesmo que a empresa faça a opção pelo Programa empresa Cidadã. a despesa é dedutível do IRPJ em função do art. 5º da Lei 11.770/2008). não havendo custo de reposição adicional</t>
    </r>
  </si>
  <si>
    <t>total submódulo 4.2</t>
  </si>
  <si>
    <t>Módulo 5:  Insumos Diversos</t>
  </si>
  <si>
    <t>Uniformes</t>
  </si>
  <si>
    <t>C - Equipamentos</t>
  </si>
  <si>
    <t>,</t>
  </si>
  <si>
    <t>Módulo 6 : Custos indiretos, tributos e lucro</t>
  </si>
  <si>
    <t>Lucro e Custos Indiretos</t>
  </si>
  <si>
    <t>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</t>
  </si>
  <si>
    <t>Tributação</t>
  </si>
  <si>
    <t>Os tributos (ISS, COFINS e PIS) foram definidos utilizando o regime de tributação de Lucro REAL, a licitante deve elaborar sua proposta e, por conseguinte, sua planilha com base no regime de tributação ao qual estará submetido durante a execução do contrato.</t>
  </si>
  <si>
    <t>Em decorrência do ISSQN, a planilha de custo  poderá sofrer revisões  de acordo com a Lei Tributária do Município onde se realizará a prestação de serviço.</t>
  </si>
  <si>
    <t xml:space="preserve">A - Custos Indiretos </t>
  </si>
  <si>
    <t xml:space="preserve">B - Lucro </t>
  </si>
  <si>
    <t>C - Tributos</t>
  </si>
  <si>
    <t>C.2  Tributos estaduais (especificar</t>
  </si>
  <si>
    <t>Cálculo:</t>
  </si>
  <si>
    <t>{[Total (Remuneração + Encargos Sociais + Insumos) + Total (Lucro e despesas indiretas)] / [1-(COFINS + PIS + ISS)]/100]} x Alíquota</t>
  </si>
  <si>
    <t xml:space="preserve">Valor apurado em planilha auxiliar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</si>
</sst>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000%"/>
    <numFmt numFmtId="165" formatCode="&quot;R$ &quot;#,##0.00"/>
    <numFmt numFmtId="166" formatCode="d/m/yyyy"/>
    <numFmt numFmtId="167" formatCode="_(&quot;R$ &quot;* #,##0.00_);_(&quot;R$ &quot;* \(#,##0.00\);_(&quot;R$ &quot;* \-??_);_(@_)"/>
    <numFmt numFmtId="168" formatCode="_-* #,##0.00_-;\-* #,##0.00_-;_-* \-??_-;_-@_-"/>
    <numFmt numFmtId="169" formatCode="0.0"/>
    <numFmt numFmtId="170" formatCode="0.000000"/>
    <numFmt numFmtId="171" formatCode="0.0000%"/>
    <numFmt numFmtId="172" formatCode="0.0000000"/>
    <numFmt numFmtId="173" formatCode="0.00000"/>
    <numFmt numFmtId="174" formatCode="0.00000%"/>
  </numFmts>
  <fonts count="20"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1"/>
      <color rgb="FF333333"/>
      <name val="Open Sans"/>
      <family val="2"/>
      <charset val="1"/>
    </font>
    <font>
      <sz val="11"/>
      <color rgb="FF0000FF"/>
      <name val="Georgia"/>
      <family val="1"/>
      <charset val="1"/>
    </font>
    <font>
      <sz val="11"/>
      <color rgb="FFFF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1"/>
      <name val="Times New Roman"/>
      <family val="1"/>
      <charset val="1"/>
    </font>
    <font>
      <b/>
      <vertAlign val="superscript"/>
      <sz val="11"/>
      <color rgb="FF00000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u/>
      <sz val="11"/>
      <color rgb="FF0000FF"/>
      <name val="Times New Roman"/>
      <family val="1"/>
      <charset val="1"/>
    </font>
    <font>
      <u/>
      <sz val="6"/>
      <color rgb="FF0000FF"/>
      <name val="Arial"/>
      <family val="2"/>
      <charset val="1"/>
    </font>
    <font>
      <b/>
      <vertAlign val="superscript"/>
      <sz val="11"/>
      <name val="Times New Roman"/>
      <family val="1"/>
      <charset val="1"/>
    </font>
    <font>
      <b/>
      <sz val="12"/>
      <color rgb="FF000000"/>
      <name val="Tahoma"/>
      <family val="2"/>
      <charset val="1"/>
    </font>
    <font>
      <sz val="10"/>
      <name val="Arial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00FF00"/>
        <bgColor rgb="FF33CCCC"/>
      </patternFill>
    </fill>
    <fill>
      <patternFill patternType="solid">
        <fgColor rgb="FFFAC090"/>
        <bgColor rgb="FFC9C9C9"/>
      </patternFill>
    </fill>
    <fill>
      <patternFill patternType="solid">
        <fgColor rgb="FF95B3D7"/>
        <bgColor rgb="FF8EB4E3"/>
      </patternFill>
    </fill>
    <fill>
      <patternFill patternType="solid">
        <fgColor rgb="FFFFFFFF"/>
        <bgColor rgb="FFFFFFCC"/>
      </patternFill>
    </fill>
    <fill>
      <patternFill patternType="solid">
        <fgColor rgb="FFC0C0C0"/>
        <bgColor rgb="FFC9C9C9"/>
      </patternFill>
    </fill>
    <fill>
      <patternFill patternType="solid">
        <fgColor rgb="FF8EB4E3"/>
        <bgColor rgb="FF95B3D7"/>
      </patternFill>
    </fill>
    <fill>
      <patternFill patternType="solid">
        <fgColor rgb="FFC6D9F1"/>
        <bgColor rgb="FFC9C9C9"/>
      </patternFill>
    </fill>
    <fill>
      <patternFill patternType="solid">
        <fgColor rgb="FF99FF99"/>
        <bgColor rgb="FFCCFFFF"/>
      </patternFill>
    </fill>
    <fill>
      <patternFill patternType="solid">
        <fgColor rgb="FFC9C9C9"/>
        <bgColor rgb="FFC0C0C0"/>
      </patternFill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9">
    <xf numFmtId="0" fontId="0" fillId="0" borderId="0"/>
    <xf numFmtId="168" fontId="19" fillId="0" borderId="0" applyBorder="0" applyProtection="0"/>
    <xf numFmtId="167" fontId="19" fillId="0" borderId="0" applyBorder="0" applyProtection="0"/>
    <xf numFmtId="9" fontId="19" fillId="0" borderId="0" applyBorder="0" applyProtection="0"/>
    <xf numFmtId="0" fontId="1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3">
    <xf numFmtId="0" fontId="0" fillId="0" borderId="0" xfId="0"/>
    <xf numFmtId="0" fontId="7" fillId="5" borderId="2" xfId="7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3" fillId="8" borderId="3" xfId="0" applyNumberFormat="1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/>
    <xf numFmtId="166" fontId="2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left"/>
    </xf>
    <xf numFmtId="0" fontId="2" fillId="0" borderId="4" xfId="0" applyFont="1" applyBorder="1" applyAlignment="1"/>
    <xf numFmtId="0" fontId="2" fillId="0" borderId="5" xfId="0" applyFont="1" applyBorder="1" applyAlignment="1"/>
    <xf numFmtId="165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5" fillId="0" borderId="0" xfId="0" applyFont="1"/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165" fontId="2" fillId="0" borderId="5" xfId="0" applyNumberFormat="1" applyFont="1" applyBorder="1" applyAlignment="1"/>
    <xf numFmtId="0" fontId="3" fillId="0" borderId="4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/>
    <xf numFmtId="165" fontId="2" fillId="0" borderId="3" xfId="0" applyNumberFormat="1" applyFont="1" applyBorder="1" applyAlignment="1"/>
    <xf numFmtId="164" fontId="3" fillId="4" borderId="3" xfId="0" applyNumberFormat="1" applyFont="1" applyFill="1" applyBorder="1" applyAlignment="1"/>
    <xf numFmtId="165" fontId="3" fillId="4" borderId="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4" xfId="0" applyFont="1" applyBorder="1" applyAlignment="1">
      <alignment horizontal="center"/>
    </xf>
    <xf numFmtId="165" fontId="2" fillId="0" borderId="0" xfId="0" applyNumberFormat="1" applyFont="1" applyBorder="1"/>
    <xf numFmtId="0" fontId="3" fillId="0" borderId="4" xfId="0" applyFont="1" applyBorder="1" applyAlignment="1"/>
    <xf numFmtId="0" fontId="3" fillId="0" borderId="3" xfId="0" applyFont="1" applyBorder="1" applyAlignment="1"/>
    <xf numFmtId="164" fontId="3" fillId="0" borderId="3" xfId="0" applyNumberFormat="1" applyFont="1" applyBorder="1" applyAlignment="1"/>
    <xf numFmtId="0" fontId="3" fillId="0" borderId="4" xfId="0" applyFont="1" applyBorder="1" applyAlignment="1">
      <alignment horizontal="center" vertical="center"/>
    </xf>
    <xf numFmtId="0" fontId="3" fillId="5" borderId="3" xfId="0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3" fillId="5" borderId="5" xfId="0" applyFont="1" applyFill="1" applyBorder="1" applyAlignment="1"/>
    <xf numFmtId="0" fontId="3" fillId="5" borderId="5" xfId="0" applyFont="1" applyFill="1" applyBorder="1" applyAlignment="1">
      <alignment wrapText="1"/>
    </xf>
    <xf numFmtId="164" fontId="3" fillId="5" borderId="5" xfId="0" applyNumberFormat="1" applyFont="1" applyFill="1" applyBorder="1" applyAlignment="1"/>
    <xf numFmtId="165" fontId="3" fillId="5" borderId="5" xfId="0" applyNumberFormat="1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/>
    </xf>
    <xf numFmtId="164" fontId="2" fillId="0" borderId="3" xfId="0" applyNumberFormat="1" applyFont="1" applyBorder="1" applyAlignment="1">
      <alignment horizontal="right"/>
    </xf>
    <xf numFmtId="167" fontId="6" fillId="0" borderId="0" xfId="2" applyFont="1" applyBorder="1" applyAlignment="1" applyProtection="1"/>
    <xf numFmtId="165" fontId="6" fillId="0" borderId="0" xfId="0" applyNumberFormat="1" applyFont="1"/>
    <xf numFmtId="164" fontId="3" fillId="4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/>
    <xf numFmtId="168" fontId="2" fillId="0" borderId="0" xfId="0" applyNumberFormat="1" applyFont="1"/>
    <xf numFmtId="0" fontId="3" fillId="5" borderId="4" xfId="0" applyFont="1" applyFill="1" applyBorder="1" applyAlignment="1"/>
    <xf numFmtId="165" fontId="2" fillId="0" borderId="3" xfId="0" applyNumberFormat="1" applyFont="1" applyBorder="1" applyAlignment="1">
      <alignment vertical="center"/>
    </xf>
    <xf numFmtId="165" fontId="2" fillId="0" borderId="3" xfId="0" applyNumberFormat="1" applyFont="1" applyBorder="1" applyAlignment="1"/>
    <xf numFmtId="165" fontId="2" fillId="0" borderId="3" xfId="0" applyNumberFormat="1" applyFont="1" applyBorder="1"/>
    <xf numFmtId="0" fontId="3" fillId="5" borderId="7" xfId="0" applyFont="1" applyFill="1" applyBorder="1" applyAlignment="1"/>
    <xf numFmtId="164" fontId="2" fillId="0" borderId="3" xfId="0" applyNumberFormat="1" applyFont="1" applyBorder="1" applyAlignment="1">
      <alignment horizontal="center"/>
    </xf>
    <xf numFmtId="164" fontId="3" fillId="4" borderId="3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3" fillId="0" borderId="5" xfId="0" applyFont="1" applyBorder="1" applyAlignment="1"/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/>
    <xf numFmtId="165" fontId="3" fillId="0" borderId="3" xfId="0" applyNumberFormat="1" applyFont="1" applyBorder="1"/>
    <xf numFmtId="164" fontId="3" fillId="7" borderId="3" xfId="0" applyNumberFormat="1" applyFont="1" applyFill="1" applyBorder="1" applyAlignment="1">
      <alignment horizontal="center"/>
    </xf>
    <xf numFmtId="165" fontId="3" fillId="7" borderId="3" xfId="0" applyNumberFormat="1" applyFont="1" applyFill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164" fontId="2" fillId="0" borderId="8" xfId="0" applyNumberFormat="1" applyFont="1" applyBorder="1" applyAlignment="1"/>
    <xf numFmtId="165" fontId="3" fillId="0" borderId="8" xfId="0" applyNumberFormat="1" applyFont="1" applyBorder="1"/>
    <xf numFmtId="0" fontId="3" fillId="5" borderId="9" xfId="0" applyFont="1" applyFill="1" applyBorder="1" applyAlignment="1"/>
    <xf numFmtId="0" fontId="3" fillId="5" borderId="10" xfId="0" applyFont="1" applyFill="1" applyBorder="1" applyAlignment="1">
      <alignment wrapText="1"/>
    </xf>
    <xf numFmtId="164" fontId="3" fillId="5" borderId="10" xfId="0" applyNumberFormat="1" applyFont="1" applyFill="1" applyBorder="1" applyAlignment="1"/>
    <xf numFmtId="165" fontId="3" fillId="5" borderId="10" xfId="0" applyNumberFormat="1" applyFont="1" applyFill="1" applyBorder="1" applyAlignment="1"/>
    <xf numFmtId="0" fontId="3" fillId="0" borderId="5" xfId="0" applyFont="1" applyBorder="1" applyAlignment="1">
      <alignment horizontal="center" wrapText="1"/>
    </xf>
    <xf numFmtId="165" fontId="2" fillId="0" borderId="3" xfId="0" applyNumberFormat="1" applyFont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6" borderId="4" xfId="0" applyFont="1" applyFill="1" applyBorder="1" applyAlignment="1"/>
    <xf numFmtId="0" fontId="3" fillId="6" borderId="5" xfId="0" applyFont="1" applyFill="1" applyBorder="1" applyAlignment="1">
      <alignment horizontal="right" wrapText="1"/>
    </xf>
    <xf numFmtId="164" fontId="3" fillId="6" borderId="5" xfId="0" applyNumberFormat="1" applyFont="1" applyFill="1" applyBorder="1" applyAlignment="1"/>
    <xf numFmtId="165" fontId="3" fillId="6" borderId="3" xfId="0" applyNumberFormat="1" applyFont="1" applyFill="1" applyBorder="1" applyAlignment="1"/>
    <xf numFmtId="165" fontId="3" fillId="0" borderId="3" xfId="0" applyNumberFormat="1" applyFont="1" applyBorder="1" applyAlignment="1"/>
    <xf numFmtId="167" fontId="3" fillId="0" borderId="0" xfId="2" applyFont="1" applyBorder="1" applyAlignment="1" applyProtection="1"/>
    <xf numFmtId="164" fontId="3" fillId="7" borderId="3" xfId="0" applyNumberFormat="1" applyFont="1" applyFill="1" applyBorder="1" applyAlignment="1"/>
    <xf numFmtId="165" fontId="3" fillId="7" borderId="3" xfId="0" applyNumberFormat="1" applyFont="1" applyFill="1" applyBorder="1" applyAlignment="1"/>
    <xf numFmtId="0" fontId="2" fillId="0" borderId="8" xfId="0" applyFont="1" applyBorder="1" applyAlignment="1">
      <alignment wrapText="1"/>
    </xf>
    <xf numFmtId="165" fontId="2" fillId="0" borderId="8" xfId="0" applyNumberFormat="1" applyFont="1" applyBorder="1" applyAlignment="1"/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3" fillId="0" borderId="5" xfId="0" applyFont="1" applyBorder="1" applyAlignment="1">
      <alignment wrapText="1"/>
    </xf>
    <xf numFmtId="164" fontId="3" fillId="0" borderId="5" xfId="0" applyNumberFormat="1" applyFont="1" applyBorder="1" applyAlignment="1"/>
    <xf numFmtId="2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165" fontId="2" fillId="0" borderId="3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vertical="center" wrapText="1"/>
    </xf>
    <xf numFmtId="165" fontId="3" fillId="8" borderId="3" xfId="0" applyNumberFormat="1" applyFont="1" applyFill="1" applyBorder="1" applyAlignment="1">
      <alignment vertical="center"/>
    </xf>
    <xf numFmtId="0" fontId="2" fillId="0" borderId="1" xfId="0" applyFont="1" applyBorder="1" applyAlignment="1"/>
    <xf numFmtId="0" fontId="7" fillId="5" borderId="11" xfId="7" applyFont="1" applyFill="1" applyBorder="1" applyAlignment="1">
      <alignment vertical="center"/>
    </xf>
    <xf numFmtId="0" fontId="8" fillId="5" borderId="2" xfId="7" applyFont="1" applyFill="1" applyBorder="1" applyAlignment="1">
      <alignment horizontal="center" vertical="center" wrapText="1"/>
    </xf>
    <xf numFmtId="4" fontId="8" fillId="5" borderId="2" xfId="7" applyNumberFormat="1" applyFont="1" applyFill="1" applyBorder="1" applyAlignment="1">
      <alignment horizontal="center" vertical="center" wrapText="1"/>
    </xf>
    <xf numFmtId="0" fontId="8" fillId="5" borderId="11" xfId="7" applyFont="1" applyFill="1" applyBorder="1" applyAlignment="1">
      <alignment horizontal="center" vertical="center" wrapText="1"/>
    </xf>
    <xf numFmtId="0" fontId="8" fillId="5" borderId="11" xfId="7" applyFont="1" applyFill="1" applyBorder="1" applyAlignment="1">
      <alignment horizontal="left" vertical="center"/>
    </xf>
    <xf numFmtId="165" fontId="8" fillId="5" borderId="2" xfId="7" applyNumberFormat="1" applyFont="1" applyFill="1" applyBorder="1" applyAlignment="1">
      <alignment horizontal="center" vertical="center"/>
    </xf>
    <xf numFmtId="3" fontId="8" fillId="5" borderId="2" xfId="7" applyNumberFormat="1" applyFont="1" applyFill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5" borderId="0" xfId="7" applyFont="1" applyFill="1" applyBorder="1" applyAlignment="1">
      <alignment horizontal="right" vertical="center"/>
    </xf>
    <xf numFmtId="0" fontId="8" fillId="5" borderId="0" xfId="7" applyFont="1" applyFill="1" applyBorder="1" applyAlignment="1">
      <alignment vertical="center"/>
    </xf>
    <xf numFmtId="165" fontId="7" fillId="5" borderId="12" xfId="7" applyNumberFormat="1" applyFont="1" applyFill="1" applyBorder="1" applyAlignment="1">
      <alignment horizontal="center" vertical="center"/>
    </xf>
    <xf numFmtId="165" fontId="2" fillId="0" borderId="14" xfId="0" applyNumberFormat="1" applyFont="1" applyBorder="1" applyAlignment="1"/>
    <xf numFmtId="165" fontId="3" fillId="0" borderId="14" xfId="0" applyNumberFormat="1" applyFont="1" applyBorder="1" applyAlignment="1"/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164" fontId="3" fillId="0" borderId="11" xfId="0" applyNumberFormat="1" applyFont="1" applyBorder="1" applyAlignment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65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165" fontId="3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169" fontId="3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9" fillId="0" borderId="0" xfId="0" applyFont="1" applyBorder="1" applyAlignment="1">
      <alignment wrapText="1"/>
    </xf>
    <xf numFmtId="0" fontId="10" fillId="1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vertical="center" wrapText="1"/>
    </xf>
    <xf numFmtId="0" fontId="10" fillId="10" borderId="1" xfId="0" applyFont="1" applyFill="1" applyBorder="1" applyAlignment="1">
      <alignment vertical="center" wrapText="1"/>
    </xf>
    <xf numFmtId="0" fontId="10" fillId="10" borderId="25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vertical="center" wrapText="1"/>
    </xf>
    <xf numFmtId="164" fontId="11" fillId="0" borderId="25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0" fillId="0" borderId="2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27" xfId="0" applyFont="1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wrapText="1"/>
    </xf>
    <xf numFmtId="4" fontId="9" fillId="0" borderId="1" xfId="0" applyNumberFormat="1" applyFont="1" applyBorder="1" applyAlignment="1">
      <alignment horizontal="left" vertical="center" wrapText="1"/>
    </xf>
    <xf numFmtId="4" fontId="9" fillId="0" borderId="3" xfId="0" applyNumberFormat="1" applyFont="1" applyBorder="1"/>
    <xf numFmtId="4" fontId="9" fillId="0" borderId="0" xfId="0" applyNumberFormat="1" applyFont="1"/>
    <xf numFmtId="4" fontId="9" fillId="0" borderId="1" xfId="0" applyNumberFormat="1" applyFont="1" applyBorder="1" applyAlignment="1">
      <alignment horizontal="justify" vertical="top" wrapText="1"/>
    </xf>
    <xf numFmtId="4" fontId="9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0" fontId="10" fillId="10" borderId="2" xfId="0" applyFont="1" applyFill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6" xfId="0" applyFont="1" applyBorder="1" applyAlignment="1">
      <alignment horizontal="left" vertical="center" wrapText="1"/>
    </xf>
    <xf numFmtId="164" fontId="9" fillId="0" borderId="0" xfId="3" applyNumberFormat="1" applyFont="1" applyBorder="1" applyAlignment="1" applyProtection="1">
      <alignment wrapText="1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10" fontId="9" fillId="0" borderId="0" xfId="3" applyNumberFormat="1" applyFont="1" applyBorder="1" applyAlignment="1" applyProtection="1">
      <alignment wrapText="1"/>
    </xf>
    <xf numFmtId="0" fontId="10" fillId="0" borderId="1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center" wrapText="1"/>
    </xf>
    <xf numFmtId="164" fontId="11" fillId="0" borderId="29" xfId="0" applyNumberFormat="1" applyFont="1" applyBorder="1" applyAlignment="1">
      <alignment horizontal="center" vertical="center" wrapText="1"/>
    </xf>
    <xf numFmtId="0" fontId="9" fillId="0" borderId="2" xfId="0" applyFont="1" applyBorder="1"/>
    <xf numFmtId="0" fontId="15" fillId="0" borderId="26" xfId="4" applyFont="1" applyBorder="1" applyAlignment="1" applyProtection="1">
      <alignment horizontal="justify" vertical="center" wrapText="1"/>
    </xf>
    <xf numFmtId="0" fontId="12" fillId="0" borderId="0" xfId="0" applyFont="1" applyBorder="1" applyAlignment="1">
      <alignment wrapText="1"/>
    </xf>
    <xf numFmtId="0" fontId="12" fillId="0" borderId="8" xfId="0" applyFont="1" applyBorder="1" applyAlignment="1">
      <alignment wrapText="1"/>
    </xf>
    <xf numFmtId="164" fontId="10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164" fontId="9" fillId="0" borderId="0" xfId="0" applyNumberFormat="1" applyFont="1" applyAlignment="1">
      <alignment wrapText="1"/>
    </xf>
    <xf numFmtId="164" fontId="11" fillId="0" borderId="26" xfId="0" applyNumberFormat="1" applyFont="1" applyBorder="1" applyAlignment="1">
      <alignment horizontal="center" vertical="center" wrapText="1"/>
    </xf>
    <xf numFmtId="0" fontId="15" fillId="0" borderId="0" xfId="4" applyFont="1" applyBorder="1" applyAlignment="1" applyProtection="1">
      <alignment wrapText="1"/>
    </xf>
    <xf numFmtId="0" fontId="12" fillId="5" borderId="14" xfId="0" applyFont="1" applyFill="1" applyBorder="1" applyAlignment="1">
      <alignment wrapText="1"/>
    </xf>
    <xf numFmtId="0" fontId="12" fillId="5" borderId="0" xfId="0" applyFont="1" applyFill="1" applyBorder="1" applyAlignment="1">
      <alignment wrapText="1"/>
    </xf>
    <xf numFmtId="170" fontId="15" fillId="0" borderId="0" xfId="4" applyNumberFormat="1" applyFont="1" applyBorder="1" applyAlignment="1" applyProtection="1">
      <alignment wrapText="1"/>
    </xf>
    <xf numFmtId="10" fontId="9" fillId="0" borderId="0" xfId="0" applyNumberFormat="1" applyFont="1" applyAlignment="1">
      <alignment wrapText="1"/>
    </xf>
    <xf numFmtId="171" fontId="9" fillId="0" borderId="0" xfId="3" applyNumberFormat="1" applyFont="1" applyBorder="1" applyAlignment="1" applyProtection="1">
      <alignment wrapText="1"/>
    </xf>
    <xf numFmtId="172" fontId="9" fillId="0" borderId="0" xfId="0" applyNumberFormat="1" applyFont="1" applyAlignment="1">
      <alignment wrapText="1"/>
    </xf>
    <xf numFmtId="0" fontId="12" fillId="0" borderId="30" xfId="0" applyFont="1" applyBorder="1" applyAlignment="1">
      <alignment wrapText="1"/>
    </xf>
    <xf numFmtId="173" fontId="9" fillId="0" borderId="0" xfId="0" applyNumberFormat="1" applyFont="1" applyAlignment="1">
      <alignment wrapText="1"/>
    </xf>
    <xf numFmtId="0" fontId="10" fillId="10" borderId="31" xfId="0" applyFont="1" applyFill="1" applyBorder="1" applyAlignment="1">
      <alignment horizontal="center" vertical="center" wrapText="1"/>
    </xf>
    <xf numFmtId="0" fontId="10" fillId="10" borderId="32" xfId="0" applyFont="1" applyFill="1" applyBorder="1" applyAlignment="1">
      <alignment horizontal="center" vertical="center" wrapText="1"/>
    </xf>
    <xf numFmtId="168" fontId="9" fillId="0" borderId="0" xfId="1" applyFont="1" applyBorder="1" applyAlignment="1" applyProtection="1">
      <alignment wrapText="1"/>
    </xf>
    <xf numFmtId="165" fontId="11" fillId="5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5" borderId="28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5" fontId="11" fillId="0" borderId="28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left" vertical="center" wrapText="1"/>
    </xf>
    <xf numFmtId="165" fontId="9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4" fontId="11" fillId="5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left" vertical="center" wrapText="1"/>
    </xf>
    <xf numFmtId="0" fontId="10" fillId="0" borderId="29" xfId="0" applyFont="1" applyBorder="1" applyAlignment="1">
      <alignment horizontal="right" vertical="center" wrapText="1"/>
    </xf>
    <xf numFmtId="0" fontId="10" fillId="0" borderId="31" xfId="0" applyFont="1" applyBorder="1" applyAlignment="1">
      <alignment vertical="center" wrapText="1"/>
    </xf>
    <xf numFmtId="0" fontId="9" fillId="0" borderId="32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10" fillId="0" borderId="14" xfId="0" applyFont="1" applyBorder="1" applyAlignment="1">
      <alignment vertical="center" wrapText="1"/>
    </xf>
    <xf numFmtId="0" fontId="9" fillId="0" borderId="33" xfId="0" applyFont="1" applyBorder="1" applyAlignment="1">
      <alignment wrapText="1"/>
    </xf>
    <xf numFmtId="0" fontId="11" fillId="0" borderId="14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65" fontId="9" fillId="0" borderId="0" xfId="0" applyNumberFormat="1" applyFont="1" applyAlignment="1">
      <alignment wrapText="1"/>
    </xf>
    <xf numFmtId="174" fontId="9" fillId="0" borderId="0" xfId="0" applyNumberFormat="1" applyFont="1" applyAlignment="1">
      <alignment wrapText="1"/>
    </xf>
    <xf numFmtId="0" fontId="3" fillId="9" borderId="13" xfId="0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2" fillId="0" borderId="13" xfId="0" applyFont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165" fontId="10" fillId="5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left" vertical="center" wrapText="1"/>
    </xf>
    <xf numFmtId="4" fontId="12" fillId="0" borderId="20" xfId="0" applyNumberFormat="1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/>
    </xf>
  </cellXfs>
  <cellStyles count="9">
    <cellStyle name="Hiperlink" xfId="4" builtinId="8"/>
    <cellStyle name="Moeda" xfId="2" builtinId="4"/>
    <cellStyle name="Normal" xfId="0" builtinId="0"/>
    <cellStyle name="Normal 2" xfId="5" xr:uid="{00000000-0005-0000-0000-000006000000}"/>
    <cellStyle name="Normal 2 2" xfId="6" xr:uid="{00000000-0005-0000-0000-000007000000}"/>
    <cellStyle name="Normal 3" xfId="7" xr:uid="{00000000-0005-0000-0000-000008000000}"/>
    <cellStyle name="Normal 3 2" xfId="8" xr:uid="{00000000-0005-0000-0000-000009000000}"/>
    <cellStyle name="Porcentagem" xfId="3" builtinId="5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8EB4E3"/>
      <rgbColor rgb="FFFF99CC"/>
      <rgbColor rgb="FFC9C9C9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br/compras/pt-br/agente-publico/cadernos-tecnicos-e-valores-limites/cts-2019/ct_lim_pi_2019.pdf" TargetMode="External"/><Relationship Id="rId1" Type="http://schemas.openxmlformats.org/officeDocument/2006/relationships/hyperlink" Target="http://www.tjpi.jus.br/transparencia/uploads/legislacao_lei/file/2122/Portaria__Presid&#234;ncia__N&#186;_2845-2019_-_PJPI_TJPI_GABPRE_SECGER-mesclado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J164"/>
  <sheetViews>
    <sheetView tabSelected="1" view="pageBreakPreview" topLeftCell="A145" zoomScale="90" zoomScaleNormal="90" zoomScalePageLayoutView="90" workbookViewId="0">
      <selection activeCell="D137" sqref="D137"/>
    </sheetView>
  </sheetViews>
  <sheetFormatPr defaultColWidth="9.140625" defaultRowHeight="14.25"/>
  <cols>
    <col min="1" max="1" width="3.42578125" style="15" customWidth="1"/>
    <col min="2" max="2" width="64.28515625" style="16" customWidth="1"/>
    <col min="3" max="3" width="18.28515625" style="17" customWidth="1"/>
    <col min="4" max="4" width="20.7109375" style="18" customWidth="1"/>
    <col min="5" max="5" width="13.7109375" style="15" customWidth="1"/>
    <col min="6" max="6" width="18.85546875" style="15" customWidth="1"/>
    <col min="7" max="7" width="15.85546875" style="15" customWidth="1"/>
    <col min="8" max="1024" width="9.140625" style="15"/>
  </cols>
  <sheetData>
    <row r="1" spans="1:6">
      <c r="A1" s="19"/>
      <c r="C1" s="20"/>
      <c r="D1" s="21"/>
    </row>
    <row r="2" spans="1:6" ht="15">
      <c r="A2" s="14" t="s">
        <v>0</v>
      </c>
      <c r="B2" s="14"/>
      <c r="C2" s="13" t="s">
        <v>1</v>
      </c>
      <c r="D2" s="13"/>
    </row>
    <row r="3" spans="1:6">
      <c r="A3" s="22"/>
      <c r="B3" s="23"/>
      <c r="C3" s="24"/>
      <c r="D3" s="25"/>
    </row>
    <row r="4" spans="1:6" ht="15">
      <c r="A4" s="12" t="s">
        <v>2</v>
      </c>
      <c r="B4" s="12"/>
      <c r="C4" s="12"/>
      <c r="D4" s="12"/>
    </row>
    <row r="5" spans="1:6">
      <c r="A5" s="26" t="s">
        <v>3</v>
      </c>
      <c r="B5" s="27" t="s">
        <v>4</v>
      </c>
      <c r="C5" s="28"/>
      <c r="D5" s="29"/>
    </row>
    <row r="6" spans="1:6" ht="15">
      <c r="A6" s="26" t="s">
        <v>5</v>
      </c>
      <c r="B6" s="27" t="s">
        <v>6</v>
      </c>
      <c r="C6" s="28"/>
      <c r="D6" s="30" t="s">
        <v>7</v>
      </c>
    </row>
    <row r="7" spans="1:6" ht="15">
      <c r="A7" s="26" t="s">
        <v>8</v>
      </c>
      <c r="B7" s="27" t="s">
        <v>9</v>
      </c>
      <c r="C7" s="28"/>
      <c r="D7" s="31" t="s">
        <v>10</v>
      </c>
    </row>
    <row r="8" spans="1:6">
      <c r="A8" s="26" t="s">
        <v>11</v>
      </c>
      <c r="B8" s="27" t="s">
        <v>12</v>
      </c>
      <c r="C8" s="28"/>
      <c r="D8" s="32">
        <v>30</v>
      </c>
    </row>
    <row r="9" spans="1:6">
      <c r="A9" s="33"/>
      <c r="B9" s="34"/>
      <c r="C9" s="35"/>
      <c r="D9" s="36"/>
    </row>
    <row r="10" spans="1:6" ht="15">
      <c r="A10" s="12" t="s">
        <v>13</v>
      </c>
      <c r="B10" s="12"/>
      <c r="C10" s="12"/>
      <c r="D10" s="12"/>
    </row>
    <row r="11" spans="1:6">
      <c r="A11" s="37"/>
      <c r="B11" s="38" t="s">
        <v>14</v>
      </c>
      <c r="C11" s="28"/>
      <c r="D11" s="39" t="s">
        <v>15</v>
      </c>
    </row>
    <row r="12" spans="1:6">
      <c r="A12" s="37"/>
      <c r="B12" s="38" t="s">
        <v>16</v>
      </c>
      <c r="C12" s="28"/>
      <c r="D12" s="39" t="s">
        <v>17</v>
      </c>
    </row>
    <row r="13" spans="1:6">
      <c r="A13" s="37"/>
      <c r="B13" s="38" t="s">
        <v>18</v>
      </c>
      <c r="C13" s="28"/>
      <c r="D13" s="40">
        <v>83</v>
      </c>
      <c r="F13" s="41"/>
    </row>
    <row r="14" spans="1:6">
      <c r="A14" s="42"/>
      <c r="B14" s="43"/>
      <c r="C14" s="44"/>
      <c r="D14" s="45"/>
      <c r="F14" s="46"/>
    </row>
    <row r="15" spans="1:6">
      <c r="A15" s="33"/>
      <c r="B15" s="34"/>
      <c r="C15" s="35"/>
      <c r="D15" s="36"/>
    </row>
    <row r="16" spans="1:6" ht="15">
      <c r="A16" s="12" t="s">
        <v>19</v>
      </c>
      <c r="B16" s="12"/>
      <c r="C16" s="12"/>
      <c r="D16" s="12"/>
    </row>
    <row r="17" spans="1:4">
      <c r="A17" s="26">
        <v>1</v>
      </c>
      <c r="B17" s="27" t="s">
        <v>20</v>
      </c>
      <c r="C17" s="28"/>
      <c r="D17" s="47" t="str">
        <f>D11</f>
        <v xml:space="preserve">Apoio Administrativo </v>
      </c>
    </row>
    <row r="18" spans="1:4">
      <c r="A18" s="26">
        <v>2</v>
      </c>
      <c r="B18" s="27" t="s">
        <v>21</v>
      </c>
      <c r="C18" s="28"/>
      <c r="D18" s="48" t="s">
        <v>22</v>
      </c>
    </row>
    <row r="19" spans="1:4">
      <c r="A19" s="26">
        <v>3</v>
      </c>
      <c r="B19" s="27" t="s">
        <v>23</v>
      </c>
      <c r="C19" s="28"/>
      <c r="D19" s="48">
        <f>'Memoria de Cálculo'!C4</f>
        <v>2128.35</v>
      </c>
    </row>
    <row r="20" spans="1:4">
      <c r="A20" s="26">
        <v>4</v>
      </c>
      <c r="B20" s="27" t="s">
        <v>24</v>
      </c>
      <c r="C20" s="28"/>
      <c r="D20" s="48" t="s">
        <v>25</v>
      </c>
    </row>
    <row r="21" spans="1:4">
      <c r="A21" s="26">
        <v>5</v>
      </c>
      <c r="B21" s="27" t="s">
        <v>26</v>
      </c>
      <c r="C21" s="28"/>
      <c r="D21" s="29">
        <v>44562</v>
      </c>
    </row>
    <row r="22" spans="1:4">
      <c r="A22" s="38"/>
      <c r="B22" s="49"/>
      <c r="C22" s="28"/>
      <c r="D22" s="50"/>
    </row>
    <row r="23" spans="1:4" ht="15">
      <c r="A23" s="12" t="s">
        <v>27</v>
      </c>
      <c r="B23" s="12"/>
      <c r="C23" s="12"/>
      <c r="D23" s="12"/>
    </row>
    <row r="24" spans="1:4" ht="15">
      <c r="A24" s="31">
        <v>1</v>
      </c>
      <c r="B24" s="51" t="s">
        <v>28</v>
      </c>
      <c r="C24" s="52" t="s">
        <v>29</v>
      </c>
      <c r="D24" s="30" t="s">
        <v>30</v>
      </c>
    </row>
    <row r="25" spans="1:4" ht="15">
      <c r="A25" s="31" t="s">
        <v>3</v>
      </c>
      <c r="B25" s="53" t="s">
        <v>31</v>
      </c>
      <c r="C25" s="54"/>
      <c r="D25" s="55">
        <f>D19</f>
        <v>2128.35</v>
      </c>
    </row>
    <row r="26" spans="1:4" ht="15">
      <c r="A26" s="31" t="s">
        <v>5</v>
      </c>
      <c r="B26" s="53" t="s">
        <v>32</v>
      </c>
      <c r="C26" s="54"/>
      <c r="D26" s="55"/>
    </row>
    <row r="27" spans="1:4" ht="15">
      <c r="A27" s="31" t="s">
        <v>8</v>
      </c>
      <c r="B27" s="53" t="s">
        <v>33</v>
      </c>
      <c r="C27" s="54"/>
      <c r="D27" s="55"/>
    </row>
    <row r="28" spans="1:4" ht="15">
      <c r="A28" s="31" t="s">
        <v>11</v>
      </c>
      <c r="B28" s="53" t="s">
        <v>34</v>
      </c>
      <c r="C28" s="54"/>
      <c r="D28" s="55"/>
    </row>
    <row r="29" spans="1:4" ht="15">
      <c r="A29" s="31" t="s">
        <v>35</v>
      </c>
      <c r="B29" s="53" t="s">
        <v>36</v>
      </c>
      <c r="C29" s="54"/>
      <c r="D29" s="55"/>
    </row>
    <row r="30" spans="1:4" ht="15">
      <c r="A30" s="31" t="s">
        <v>37</v>
      </c>
      <c r="B30" s="53" t="s">
        <v>38</v>
      </c>
      <c r="C30" s="54"/>
      <c r="D30" s="55"/>
    </row>
    <row r="31" spans="1:4" ht="15">
      <c r="A31" s="31" t="s">
        <v>39</v>
      </c>
      <c r="B31" s="53" t="s">
        <v>40</v>
      </c>
      <c r="C31" s="54"/>
      <c r="D31" s="55"/>
    </row>
    <row r="32" spans="1:4" ht="15">
      <c r="A32" s="11" t="s">
        <v>41</v>
      </c>
      <c r="B32" s="11"/>
      <c r="C32" s="56"/>
      <c r="D32" s="57">
        <f>SUM(D25:D31)</f>
        <v>2128.35</v>
      </c>
    </row>
    <row r="33" spans="1:7" ht="15">
      <c r="A33" s="58"/>
      <c r="B33" s="59"/>
      <c r="C33" s="60"/>
      <c r="D33" s="61"/>
      <c r="E33" s="62"/>
    </row>
    <row r="34" spans="1:7" ht="15">
      <c r="A34" s="12" t="s">
        <v>42</v>
      </c>
      <c r="B34" s="12"/>
      <c r="C34" s="12"/>
      <c r="D34" s="12"/>
      <c r="E34" s="62"/>
      <c r="F34" s="18"/>
    </row>
    <row r="35" spans="1:7" ht="15">
      <c r="A35" s="10" t="s">
        <v>43</v>
      </c>
      <c r="B35" s="10"/>
      <c r="C35" s="52" t="s">
        <v>29</v>
      </c>
      <c r="D35" s="30" t="s">
        <v>30</v>
      </c>
      <c r="E35" s="62"/>
    </row>
    <row r="36" spans="1:7" ht="15">
      <c r="A36" s="63" t="s">
        <v>3</v>
      </c>
      <c r="B36" s="53" t="s">
        <v>44</v>
      </c>
      <c r="C36" s="54">
        <f>'Memoria de Cálculo'!C10</f>
        <v>8.3333333333333329E-2</v>
      </c>
      <c r="D36" s="55">
        <f>C36*$D$32</f>
        <v>177.36249999999998</v>
      </c>
      <c r="E36" s="64"/>
      <c r="F36" s="18"/>
    </row>
    <row r="37" spans="1:7" ht="15">
      <c r="A37" s="63" t="s">
        <v>5</v>
      </c>
      <c r="B37" s="53" t="s">
        <v>45</v>
      </c>
      <c r="C37" s="54">
        <f>'Memoria de Cálculo'!C11</f>
        <v>2.7777777777777776E-2</v>
      </c>
      <c r="D37" s="55">
        <f>C37*$D$32</f>
        <v>59.12083333333333</v>
      </c>
      <c r="E37" s="62"/>
      <c r="F37" s="18"/>
    </row>
    <row r="38" spans="1:7" ht="15">
      <c r="A38" s="65"/>
      <c r="B38" s="66" t="s">
        <v>46</v>
      </c>
      <c r="C38" s="67">
        <f>C37+C36</f>
        <v>0.1111111111111111</v>
      </c>
      <c r="D38" s="55">
        <f>D37+D36</f>
        <v>236.48333333333332</v>
      </c>
      <c r="E38" s="62"/>
    </row>
    <row r="39" spans="1:7" ht="20.25" customHeight="1">
      <c r="A39" s="68" t="s">
        <v>8</v>
      </c>
      <c r="B39" s="69" t="s">
        <v>47</v>
      </c>
      <c r="C39" s="70">
        <f>C38*C51</f>
        <v>4.4222222222222225E-2</v>
      </c>
      <c r="D39" s="71">
        <f>D38*C51</f>
        <v>94.120366666666683</v>
      </c>
      <c r="E39" s="62"/>
    </row>
    <row r="40" spans="1:7" ht="15">
      <c r="A40" s="11" t="s">
        <v>48</v>
      </c>
      <c r="B40" s="11"/>
      <c r="C40" s="56">
        <f>C39+C38</f>
        <v>0.15533333333333332</v>
      </c>
      <c r="D40" s="57">
        <f>D39+D38</f>
        <v>330.6037</v>
      </c>
      <c r="E40" s="62"/>
    </row>
    <row r="41" spans="1:7" ht="15">
      <c r="A41" s="72"/>
      <c r="B41" s="73"/>
      <c r="C41" s="74"/>
      <c r="D41" s="75"/>
      <c r="E41" s="62"/>
    </row>
    <row r="42" spans="1:7" ht="15">
      <c r="A42" s="10" t="s">
        <v>49</v>
      </c>
      <c r="B42" s="10"/>
      <c r="C42" s="52" t="s">
        <v>29</v>
      </c>
      <c r="D42" s="30" t="s">
        <v>30</v>
      </c>
      <c r="E42" s="62"/>
      <c r="F42" s="76"/>
      <c r="G42" s="77"/>
    </row>
    <row r="43" spans="1:7" ht="15">
      <c r="A43" s="63" t="s">
        <v>3</v>
      </c>
      <c r="B43" s="53" t="s">
        <v>50</v>
      </c>
      <c r="C43" s="78">
        <f>'Memoria de Cálculo'!C17</f>
        <v>0.2</v>
      </c>
      <c r="D43" s="55">
        <f t="shared" ref="D43:D50" si="0">C43*$D$32</f>
        <v>425.67</v>
      </c>
      <c r="E43" s="62"/>
      <c r="F43" s="79"/>
      <c r="G43" s="77"/>
    </row>
    <row r="44" spans="1:7" ht="15">
      <c r="A44" s="63" t="s">
        <v>5</v>
      </c>
      <c r="B44" s="53" t="s">
        <v>51</v>
      </c>
      <c r="C44" s="78">
        <f>'Memoria de Cálculo'!C18</f>
        <v>2.5000000000000001E-2</v>
      </c>
      <c r="D44" s="55">
        <f t="shared" si="0"/>
        <v>53.208750000000002</v>
      </c>
      <c r="E44" s="62"/>
      <c r="F44" s="76"/>
    </row>
    <row r="45" spans="1:7" ht="15">
      <c r="A45" s="63" t="s">
        <v>8</v>
      </c>
      <c r="B45" s="53" t="s">
        <v>52</v>
      </c>
      <c r="C45" s="78">
        <f>'Memoria de Cálculo'!C19</f>
        <v>0.06</v>
      </c>
      <c r="D45" s="55">
        <f t="shared" si="0"/>
        <v>127.70099999999999</v>
      </c>
      <c r="E45" s="64"/>
      <c r="F45" s="80"/>
    </row>
    <row r="46" spans="1:7" ht="15">
      <c r="A46" s="63" t="s">
        <v>11</v>
      </c>
      <c r="B46" s="53" t="s">
        <v>53</v>
      </c>
      <c r="C46" s="78">
        <f>'Memoria de Cálculo'!C20</f>
        <v>1.4999999999999999E-2</v>
      </c>
      <c r="D46" s="55">
        <f t="shared" si="0"/>
        <v>31.925249999999998</v>
      </c>
      <c r="E46" s="62"/>
    </row>
    <row r="47" spans="1:7" ht="15">
      <c r="A47" s="63" t="s">
        <v>35</v>
      </c>
      <c r="B47" s="53" t="s">
        <v>54</v>
      </c>
      <c r="C47" s="78">
        <f>'Memoria de Cálculo'!C21</f>
        <v>0.01</v>
      </c>
      <c r="D47" s="55">
        <f t="shared" si="0"/>
        <v>21.2835</v>
      </c>
      <c r="E47" s="62"/>
    </row>
    <row r="48" spans="1:7" ht="15">
      <c r="A48" s="63" t="s">
        <v>37</v>
      </c>
      <c r="B48" s="53" t="s">
        <v>55</v>
      </c>
      <c r="C48" s="78">
        <f>'Memoria de Cálculo'!C22</f>
        <v>6.0000000000000001E-3</v>
      </c>
      <c r="D48" s="55">
        <f t="shared" si="0"/>
        <v>12.770099999999999</v>
      </c>
      <c r="E48" s="62"/>
    </row>
    <row r="49" spans="1:6" ht="15">
      <c r="A49" s="63" t="s">
        <v>39</v>
      </c>
      <c r="B49" s="53" t="s">
        <v>56</v>
      </c>
      <c r="C49" s="78">
        <f>'Memoria de Cálculo'!C23</f>
        <v>2E-3</v>
      </c>
      <c r="D49" s="55">
        <f t="shared" si="0"/>
        <v>4.2566999999999995</v>
      </c>
      <c r="E49" s="62"/>
    </row>
    <row r="50" spans="1:6" ht="15">
      <c r="A50" s="63" t="s">
        <v>57</v>
      </c>
      <c r="B50" s="53" t="s">
        <v>58</v>
      </c>
      <c r="C50" s="78">
        <f>'Memoria de Cálculo'!C24</f>
        <v>0.08</v>
      </c>
      <c r="D50" s="55">
        <f t="shared" si="0"/>
        <v>170.268</v>
      </c>
      <c r="E50" s="62"/>
    </row>
    <row r="51" spans="1:6" ht="15">
      <c r="A51" s="9" t="s">
        <v>59</v>
      </c>
      <c r="B51" s="9"/>
      <c r="C51" s="81">
        <f>SUM(C43:C50)</f>
        <v>0.39800000000000008</v>
      </c>
      <c r="D51" s="82">
        <f>SUM(D43:D50)</f>
        <v>847.08330000000001</v>
      </c>
      <c r="E51" s="64"/>
      <c r="F51" s="83"/>
    </row>
    <row r="52" spans="1:6" ht="15">
      <c r="A52" s="84"/>
      <c r="B52" s="73"/>
      <c r="C52" s="74"/>
      <c r="D52" s="75"/>
      <c r="E52" s="62"/>
    </row>
    <row r="53" spans="1:6" ht="15">
      <c r="A53" s="10" t="s">
        <v>60</v>
      </c>
      <c r="B53" s="10"/>
      <c r="C53" s="67"/>
      <c r="D53" s="30" t="s">
        <v>30</v>
      </c>
      <c r="E53" s="62"/>
    </row>
    <row r="54" spans="1:6" ht="15">
      <c r="A54" s="63" t="s">
        <v>3</v>
      </c>
      <c r="B54" s="53" t="s">
        <v>61</v>
      </c>
      <c r="C54" s="54"/>
      <c r="D54" s="55">
        <f>(4*2*22)-(0.06*D19)</f>
        <v>48.299000000000007</v>
      </c>
      <c r="E54" s="62"/>
    </row>
    <row r="55" spans="1:6" ht="15">
      <c r="A55" s="63" t="s">
        <v>5</v>
      </c>
      <c r="B55" s="53" t="s">
        <v>62</v>
      </c>
      <c r="C55" s="54"/>
      <c r="D55" s="55">
        <f>'Memoria de Cálculo'!C32</f>
        <v>537.02599999999995</v>
      </c>
      <c r="E55" s="62"/>
    </row>
    <row r="56" spans="1:6" ht="42.75">
      <c r="A56" s="68" t="s">
        <v>8</v>
      </c>
      <c r="B56" s="53" t="s">
        <v>63</v>
      </c>
      <c r="C56" s="54"/>
      <c r="D56" s="85">
        <f>'Memoria de Cálculo'!C33</f>
        <v>61.68</v>
      </c>
      <c r="E56" s="62"/>
    </row>
    <row r="57" spans="1:6" ht="15">
      <c r="A57" s="63" t="s">
        <v>11</v>
      </c>
      <c r="B57" s="53" t="s">
        <v>64</v>
      </c>
      <c r="C57" s="54"/>
      <c r="D57" s="55">
        <f>'Memoria de Cálculo'!C34</f>
        <v>0</v>
      </c>
      <c r="E57" s="62"/>
    </row>
    <row r="58" spans="1:6" ht="15">
      <c r="A58" s="63" t="s">
        <v>35</v>
      </c>
      <c r="B58" s="53" t="s">
        <v>65</v>
      </c>
      <c r="C58" s="54"/>
      <c r="D58" s="86">
        <f>'Memoria de Cálculo'!C35</f>
        <v>14.3</v>
      </c>
      <c r="E58" s="62"/>
    </row>
    <row r="59" spans="1:6" ht="15">
      <c r="A59" s="63" t="s">
        <v>37</v>
      </c>
      <c r="B59" s="53" t="s">
        <v>40</v>
      </c>
      <c r="C59" s="54"/>
      <c r="D59" s="55">
        <f>'Memoria de Cálculo'!C36</f>
        <v>0</v>
      </c>
      <c r="E59" s="62"/>
    </row>
    <row r="60" spans="1:6" ht="15">
      <c r="A60" s="11" t="s">
        <v>66</v>
      </c>
      <c r="B60" s="11"/>
      <c r="C60" s="56"/>
      <c r="D60" s="82">
        <f>SUM(D54:D59)</f>
        <v>661.30499999999984</v>
      </c>
      <c r="E60" s="62"/>
    </row>
    <row r="61" spans="1:6" ht="15">
      <c r="A61" s="84"/>
      <c r="B61" s="73"/>
      <c r="C61" s="74"/>
      <c r="D61" s="75"/>
      <c r="E61" s="62"/>
    </row>
    <row r="62" spans="1:6" ht="15">
      <c r="A62" s="8" t="s">
        <v>67</v>
      </c>
      <c r="B62" s="8"/>
      <c r="C62" s="8"/>
      <c r="D62" s="8"/>
      <c r="E62" s="62"/>
    </row>
    <row r="63" spans="1:6" ht="15">
      <c r="A63" s="10" t="s">
        <v>68</v>
      </c>
      <c r="B63" s="10"/>
      <c r="C63" s="52"/>
      <c r="D63" s="30" t="s">
        <v>30</v>
      </c>
      <c r="E63" s="62"/>
    </row>
    <row r="64" spans="1:6" ht="15">
      <c r="A64" s="63" t="s">
        <v>69</v>
      </c>
      <c r="B64" s="53" t="s">
        <v>70</v>
      </c>
      <c r="C64" s="54"/>
      <c r="D64" s="87">
        <f>D40</f>
        <v>330.6037</v>
      </c>
      <c r="E64" s="62"/>
    </row>
    <row r="65" spans="1:5" ht="15">
      <c r="A65" s="63" t="s">
        <v>71</v>
      </c>
      <c r="B65" s="53" t="s">
        <v>72</v>
      </c>
      <c r="C65" s="54"/>
      <c r="D65" s="87">
        <f>D51</f>
        <v>847.08330000000001</v>
      </c>
      <c r="E65" s="62"/>
    </row>
    <row r="66" spans="1:5" ht="15">
      <c r="A66" s="63" t="s">
        <v>73</v>
      </c>
      <c r="B66" s="53" t="s">
        <v>74</v>
      </c>
      <c r="C66" s="54"/>
      <c r="D66" s="87">
        <f>D60</f>
        <v>661.30499999999984</v>
      </c>
      <c r="E66" s="62"/>
    </row>
    <row r="67" spans="1:5" ht="15">
      <c r="A67" s="11" t="s">
        <v>75</v>
      </c>
      <c r="B67" s="11"/>
      <c r="C67" s="56"/>
      <c r="D67" s="82">
        <f>SUM(D64:D66)</f>
        <v>1838.9919999999997</v>
      </c>
      <c r="E67" s="62"/>
    </row>
    <row r="68" spans="1:5" ht="15">
      <c r="A68" s="88"/>
      <c r="B68" s="73"/>
      <c r="C68" s="74"/>
      <c r="D68" s="75"/>
      <c r="E68" s="62"/>
    </row>
    <row r="69" spans="1:5" ht="15">
      <c r="A69" s="12" t="s">
        <v>76</v>
      </c>
      <c r="B69" s="12"/>
      <c r="C69" s="12"/>
      <c r="D69" s="12"/>
      <c r="E69" s="62"/>
    </row>
    <row r="70" spans="1:5" ht="15">
      <c r="A70" s="10" t="s">
        <v>77</v>
      </c>
      <c r="B70" s="10"/>
      <c r="C70" s="52" t="s">
        <v>29</v>
      </c>
      <c r="D70" s="30" t="s">
        <v>30</v>
      </c>
      <c r="E70" s="62"/>
    </row>
    <row r="71" spans="1:5" ht="15">
      <c r="A71" s="63" t="s">
        <v>3</v>
      </c>
      <c r="B71" s="53" t="s">
        <v>78</v>
      </c>
      <c r="C71" s="89">
        <f>'Memoria de Cálculo'!C41</f>
        <v>8.3333333333333332E-3</v>
      </c>
      <c r="D71" s="55">
        <f>C71*$D$32</f>
        <v>17.736249999999998</v>
      </c>
      <c r="E71" s="62"/>
    </row>
    <row r="72" spans="1:5" ht="15">
      <c r="A72" s="63" t="s">
        <v>5</v>
      </c>
      <c r="B72" s="53" t="s">
        <v>79</v>
      </c>
      <c r="C72" s="89">
        <f>'Memoria de Cálculo'!C42</f>
        <v>6.6666666666666664E-4</v>
      </c>
      <c r="D72" s="55">
        <f>C72*$D$32</f>
        <v>1.4188999999999998</v>
      </c>
      <c r="E72" s="62"/>
    </row>
    <row r="73" spans="1:5" ht="29.25">
      <c r="A73" s="63" t="s">
        <v>8</v>
      </c>
      <c r="B73" s="53" t="s">
        <v>80</v>
      </c>
      <c r="C73" s="89">
        <f>'Memoria de Cálculo'!C43</f>
        <v>5.1111111111111097E-3</v>
      </c>
      <c r="D73" s="55">
        <f>C73*$D$32</f>
        <v>10.878233333333331</v>
      </c>
      <c r="E73" s="62"/>
    </row>
    <row r="74" spans="1:5" ht="15">
      <c r="A74" s="9" t="s">
        <v>81</v>
      </c>
      <c r="B74" s="9"/>
      <c r="C74" s="90">
        <f>SUM(C71:C73)</f>
        <v>1.4111111111111109E-2</v>
      </c>
      <c r="D74" s="82">
        <f>SUM(D71:D73)</f>
        <v>30.03338333333333</v>
      </c>
      <c r="E74" s="62"/>
    </row>
    <row r="75" spans="1:5" ht="15">
      <c r="A75" s="91"/>
      <c r="B75" s="49"/>
      <c r="C75" s="92"/>
      <c r="D75" s="50"/>
      <c r="E75" s="62"/>
    </row>
    <row r="76" spans="1:5" ht="15">
      <c r="A76" s="10" t="s">
        <v>82</v>
      </c>
      <c r="B76" s="10"/>
      <c r="C76" s="52" t="s">
        <v>29</v>
      </c>
      <c r="D76" s="30" t="s">
        <v>30</v>
      </c>
      <c r="E76" s="62"/>
    </row>
    <row r="77" spans="1:5" ht="15">
      <c r="A77" s="63" t="s">
        <v>3</v>
      </c>
      <c r="B77" s="53" t="s">
        <v>83</v>
      </c>
      <c r="C77" s="89">
        <f>'Memoria de Cálculo'!C51</f>
        <v>1.9444444444444445E-2</v>
      </c>
      <c r="D77" s="55">
        <f>C77*$D$32</f>
        <v>41.384583333333332</v>
      </c>
      <c r="E77" s="62"/>
    </row>
    <row r="78" spans="1:5" ht="29.25">
      <c r="A78" s="63" t="s">
        <v>5</v>
      </c>
      <c r="B78" s="53" t="s">
        <v>84</v>
      </c>
      <c r="C78" s="89">
        <f>'Memoria de Cálculo'!C52</f>
        <v>7.7388888888888898E-3</v>
      </c>
      <c r="D78" s="55">
        <f>C78*$D$32</f>
        <v>16.471064166666668</v>
      </c>
      <c r="E78" s="62"/>
    </row>
    <row r="79" spans="1:5" ht="29.25">
      <c r="A79" s="63" t="s">
        <v>8</v>
      </c>
      <c r="B79" s="53" t="s">
        <v>85</v>
      </c>
      <c r="C79" s="89">
        <f>'Memoria de Cálculo'!C53</f>
        <v>4.3000000000000003E-2</v>
      </c>
      <c r="D79" s="55">
        <f>C79*$D$32</f>
        <v>91.519050000000007</v>
      </c>
      <c r="E79" s="62"/>
    </row>
    <row r="80" spans="1:5" ht="15">
      <c r="A80" s="11" t="s">
        <v>86</v>
      </c>
      <c r="B80" s="11"/>
      <c r="C80" s="90">
        <f>SUM(C77:C79)</f>
        <v>7.0183333333333334E-2</v>
      </c>
      <c r="D80" s="82">
        <f>SUM(D77:D79)</f>
        <v>149.37469750000002</v>
      </c>
      <c r="E80" s="62"/>
    </row>
    <row r="81" spans="1:5" ht="15">
      <c r="A81" s="65"/>
      <c r="B81" s="93"/>
      <c r="C81" s="94"/>
      <c r="D81" s="95"/>
      <c r="E81" s="62"/>
    </row>
    <row r="82" spans="1:5" ht="15">
      <c r="A82" s="12" t="s">
        <v>87</v>
      </c>
      <c r="B82" s="12"/>
      <c r="C82" s="12"/>
      <c r="D82" s="12"/>
      <c r="E82" s="62"/>
    </row>
    <row r="83" spans="1:5" ht="15">
      <c r="A83" s="10" t="s">
        <v>88</v>
      </c>
      <c r="B83" s="10"/>
      <c r="C83" s="67"/>
      <c r="D83" s="30" t="s">
        <v>30</v>
      </c>
      <c r="E83" s="62"/>
    </row>
    <row r="84" spans="1:5" ht="15">
      <c r="A84" s="63" t="s">
        <v>89</v>
      </c>
      <c r="B84" s="53" t="s">
        <v>90</v>
      </c>
      <c r="C84" s="54"/>
      <c r="D84" s="87">
        <f>D74</f>
        <v>30.03338333333333</v>
      </c>
      <c r="E84" s="62"/>
    </row>
    <row r="85" spans="1:5" ht="15">
      <c r="A85" s="63" t="s">
        <v>91</v>
      </c>
      <c r="B85" s="53" t="s">
        <v>92</v>
      </c>
      <c r="C85" s="54"/>
      <c r="D85" s="87">
        <f>D80</f>
        <v>149.37469750000002</v>
      </c>
      <c r="E85" s="62"/>
    </row>
    <row r="86" spans="1:5" ht="15">
      <c r="A86" s="10" t="s">
        <v>93</v>
      </c>
      <c r="B86" s="10"/>
      <c r="C86" s="67"/>
      <c r="D86" s="96">
        <f>SUM(D84:D85)</f>
        <v>179.40808083333334</v>
      </c>
      <c r="E86" s="62"/>
    </row>
    <row r="87" spans="1:5" ht="15">
      <c r="A87" s="65"/>
      <c r="B87" s="93"/>
      <c r="C87" s="94"/>
      <c r="D87" s="95"/>
      <c r="E87" s="62"/>
    </row>
    <row r="88" spans="1:5" ht="15">
      <c r="A88" s="12" t="s">
        <v>94</v>
      </c>
      <c r="B88" s="12"/>
      <c r="C88" s="12"/>
      <c r="D88" s="12"/>
      <c r="E88" s="62"/>
    </row>
    <row r="89" spans="1:5" ht="15">
      <c r="A89" s="10" t="s">
        <v>95</v>
      </c>
      <c r="B89" s="10"/>
      <c r="C89" s="52" t="s">
        <v>29</v>
      </c>
      <c r="D89" s="30" t="s">
        <v>30</v>
      </c>
      <c r="E89" s="62"/>
    </row>
    <row r="90" spans="1:5" ht="15">
      <c r="A90" s="31" t="s">
        <v>3</v>
      </c>
      <c r="B90" s="27" t="s">
        <v>96</v>
      </c>
      <c r="C90" s="89">
        <f>'Memoria de Cálculo'!C64</f>
        <v>8.3333333333333329E-2</v>
      </c>
      <c r="D90" s="55">
        <f t="shared" ref="D90:D97" si="1">C90*$D$32</f>
        <v>177.36249999999998</v>
      </c>
      <c r="E90" s="62"/>
    </row>
    <row r="91" spans="1:5" ht="15">
      <c r="A91" s="31" t="s">
        <v>5</v>
      </c>
      <c r="B91" s="27" t="s">
        <v>97</v>
      </c>
      <c r="C91" s="89">
        <f>'Memoria de Cálculo'!C65</f>
        <v>3.3166666666666664E-2</v>
      </c>
      <c r="D91" s="55">
        <f t="shared" si="1"/>
        <v>70.590274999999991</v>
      </c>
      <c r="E91" s="62"/>
    </row>
    <row r="92" spans="1:5" ht="15">
      <c r="A92" s="31" t="s">
        <v>8</v>
      </c>
      <c r="B92" s="27" t="s">
        <v>98</v>
      </c>
      <c r="C92" s="89">
        <f>'Memoria de Cálculo'!C66</f>
        <v>2.7777777777777779E-3</v>
      </c>
      <c r="D92" s="55">
        <f t="shared" si="1"/>
        <v>5.9120833333333334</v>
      </c>
      <c r="E92" s="62"/>
    </row>
    <row r="93" spans="1:5" ht="15">
      <c r="A93" s="31" t="s">
        <v>11</v>
      </c>
      <c r="B93" s="27" t="s">
        <v>99</v>
      </c>
      <c r="C93" s="89">
        <f>'Memoria de Cálculo'!C67</f>
        <v>1.0553196347031963E-3</v>
      </c>
      <c r="D93" s="55">
        <f t="shared" si="1"/>
        <v>2.2460895445205478</v>
      </c>
      <c r="E93" s="62"/>
    </row>
    <row r="94" spans="1:5" ht="15">
      <c r="A94" s="31" t="s">
        <v>35</v>
      </c>
      <c r="B94" s="27" t="s">
        <v>100</v>
      </c>
      <c r="C94" s="89">
        <f>'Memoria de Cálculo'!C68</f>
        <v>9.5890410958904115E-3</v>
      </c>
      <c r="D94" s="55">
        <f t="shared" si="1"/>
        <v>20.408835616438356</v>
      </c>
      <c r="E94" s="62"/>
    </row>
    <row r="95" spans="1:5" ht="15">
      <c r="A95" s="31" t="s">
        <v>37</v>
      </c>
      <c r="B95" s="27" t="s">
        <v>101</v>
      </c>
      <c r="C95" s="89">
        <f>'Memoria de Cálculo'!C69</f>
        <v>1.3712328767123287E-4</v>
      </c>
      <c r="D95" s="55">
        <f t="shared" si="1"/>
        <v>0.29184634931506848</v>
      </c>
      <c r="E95" s="62"/>
    </row>
    <row r="96" spans="1:5" ht="15">
      <c r="A96" s="31" t="s">
        <v>39</v>
      </c>
      <c r="B96" s="27" t="s">
        <v>102</v>
      </c>
      <c r="C96" s="89">
        <f>'Memoria de Cálculo'!C70</f>
        <v>2.6523287671232879E-3</v>
      </c>
      <c r="D96" s="55">
        <f t="shared" si="1"/>
        <v>5.6450839315068491</v>
      </c>
      <c r="E96" s="62"/>
    </row>
    <row r="97" spans="1:5" ht="15">
      <c r="A97" s="63" t="s">
        <v>57</v>
      </c>
      <c r="B97" s="27" t="s">
        <v>103</v>
      </c>
      <c r="C97" s="89">
        <f>'Memoria de Cálculo'!C71</f>
        <v>5.0374429223744288E-4</v>
      </c>
      <c r="D97" s="55">
        <f t="shared" si="1"/>
        <v>1.0721441643835614</v>
      </c>
      <c r="E97" s="62"/>
    </row>
    <row r="98" spans="1:5" ht="29.25">
      <c r="A98" s="63" t="s">
        <v>104</v>
      </c>
      <c r="B98" s="27" t="s">
        <v>105</v>
      </c>
      <c r="C98" s="89">
        <f>'Memoria de Cálculo'!C72</f>
        <v>6.6527032724505338E-3</v>
      </c>
      <c r="D98" s="55">
        <f>SUM(D90:D96)</f>
        <v>282.45671377511411</v>
      </c>
      <c r="E98" s="62"/>
    </row>
    <row r="99" spans="1:5" ht="15">
      <c r="A99" s="11" t="s">
        <v>106</v>
      </c>
      <c r="B99" s="11"/>
      <c r="C99" s="97">
        <f>SUM(C90:C98)</f>
        <v>0.13986803812785387</v>
      </c>
      <c r="D99" s="98">
        <f>SUM(D90:D98)</f>
        <v>565.98557171461175</v>
      </c>
      <c r="E99" s="62"/>
    </row>
    <row r="100" spans="1:5" ht="15">
      <c r="A100" s="99"/>
      <c r="B100" s="100"/>
      <c r="C100" s="101"/>
      <c r="D100" s="102"/>
      <c r="E100" s="62"/>
    </row>
    <row r="101" spans="1:5" ht="15">
      <c r="A101" s="103"/>
      <c r="B101" s="104"/>
      <c r="C101" s="105"/>
      <c r="D101" s="106"/>
      <c r="E101" s="62"/>
    </row>
    <row r="102" spans="1:5" ht="15">
      <c r="A102" s="63" t="s">
        <v>107</v>
      </c>
      <c r="B102" s="107"/>
      <c r="C102" s="52" t="s">
        <v>29</v>
      </c>
      <c r="D102" s="30" t="s">
        <v>30</v>
      </c>
      <c r="E102" s="62"/>
    </row>
    <row r="103" spans="1:5" ht="15">
      <c r="A103" s="63" t="s">
        <v>3</v>
      </c>
      <c r="B103" s="27" t="s">
        <v>108</v>
      </c>
      <c r="C103" s="89" t="str">
        <f>'Memoria de Cálculo'!C85</f>
        <v>-</v>
      </c>
      <c r="D103" s="108">
        <v>0</v>
      </c>
      <c r="E103" s="62"/>
    </row>
    <row r="104" spans="1:5" ht="29.25">
      <c r="A104" s="63" t="s">
        <v>5</v>
      </c>
      <c r="B104" s="27" t="s">
        <v>109</v>
      </c>
      <c r="C104" s="89" t="str">
        <f>'Memoria de Cálculo'!C86</f>
        <v>-</v>
      </c>
      <c r="D104" s="55">
        <v>0</v>
      </c>
      <c r="E104" s="62"/>
    </row>
    <row r="105" spans="1:5" ht="15">
      <c r="A105" s="11" t="s">
        <v>110</v>
      </c>
      <c r="B105" s="11"/>
      <c r="C105" s="97">
        <f>SUM(C103)</f>
        <v>0</v>
      </c>
      <c r="D105" s="109">
        <f>SUM(D103)</f>
        <v>0</v>
      </c>
      <c r="E105" s="62"/>
    </row>
    <row r="106" spans="1:5" ht="15">
      <c r="A106" s="88"/>
      <c r="B106" s="73"/>
      <c r="C106" s="74"/>
      <c r="D106" s="75"/>
      <c r="E106" s="62"/>
    </row>
    <row r="107" spans="1:5" ht="15">
      <c r="A107" s="12" t="s">
        <v>111</v>
      </c>
      <c r="B107" s="12"/>
      <c r="C107" s="12"/>
      <c r="D107" s="12"/>
      <c r="E107" s="62"/>
    </row>
    <row r="108" spans="1:5" ht="15">
      <c r="A108" s="10" t="s">
        <v>112</v>
      </c>
      <c r="B108" s="10"/>
      <c r="C108" s="67"/>
      <c r="D108" s="30" t="s">
        <v>30</v>
      </c>
      <c r="E108" s="62"/>
    </row>
    <row r="109" spans="1:5" ht="15">
      <c r="A109" s="31" t="s">
        <v>113</v>
      </c>
      <c r="B109" s="53" t="s">
        <v>99</v>
      </c>
      <c r="C109" s="54"/>
      <c r="D109" s="55">
        <f>D99</f>
        <v>565.98557171461175</v>
      </c>
      <c r="E109" s="62"/>
    </row>
    <row r="110" spans="1:5" ht="15">
      <c r="A110" s="31" t="s">
        <v>114</v>
      </c>
      <c r="B110" s="53" t="s">
        <v>115</v>
      </c>
      <c r="C110" s="54"/>
      <c r="D110" s="55">
        <f>D105</f>
        <v>0</v>
      </c>
      <c r="E110" s="62"/>
    </row>
    <row r="111" spans="1:5" ht="15">
      <c r="A111" s="10" t="s">
        <v>116</v>
      </c>
      <c r="B111" s="10"/>
      <c r="C111" s="67"/>
      <c r="D111" s="96">
        <f>SUM(D109:D110)</f>
        <v>565.98557171461175</v>
      </c>
      <c r="E111" s="62"/>
    </row>
    <row r="112" spans="1:5" ht="15">
      <c r="A112" s="88"/>
      <c r="B112" s="73"/>
      <c r="C112" s="74"/>
      <c r="D112" s="75"/>
      <c r="E112" s="62"/>
    </row>
    <row r="113" spans="1:6" ht="15">
      <c r="A113" s="12" t="s">
        <v>117</v>
      </c>
      <c r="B113" s="12"/>
      <c r="C113" s="12"/>
      <c r="D113" s="12"/>
      <c r="E113" s="62"/>
    </row>
    <row r="114" spans="1:6" ht="15" customHeight="1">
      <c r="A114" s="7" t="s">
        <v>118</v>
      </c>
      <c r="B114" s="7"/>
      <c r="C114" s="52"/>
      <c r="D114" s="30" t="s">
        <v>30</v>
      </c>
      <c r="E114" s="62"/>
    </row>
    <row r="115" spans="1:6" ht="15">
      <c r="A115" s="31" t="s">
        <v>3</v>
      </c>
      <c r="B115" s="53" t="s">
        <v>119</v>
      </c>
      <c r="C115" s="54"/>
      <c r="D115" s="55">
        <f>'Memoria de Cálculo'!C92</f>
        <v>0</v>
      </c>
      <c r="E115" s="62"/>
    </row>
    <row r="116" spans="1:6" ht="15">
      <c r="A116" s="31" t="s">
        <v>5</v>
      </c>
      <c r="B116" s="53" t="s">
        <v>120</v>
      </c>
      <c r="C116" s="54"/>
      <c r="D116" s="55">
        <f>'Memoria de Cálculo'!C94</f>
        <v>0</v>
      </c>
      <c r="E116" s="62"/>
    </row>
    <row r="117" spans="1:6" ht="15">
      <c r="A117" s="110" t="s">
        <v>8</v>
      </c>
      <c r="B117" s="53" t="s">
        <v>121</v>
      </c>
      <c r="C117" s="54"/>
      <c r="D117" s="55">
        <v>0</v>
      </c>
      <c r="E117" s="62"/>
    </row>
    <row r="118" spans="1:6" ht="15">
      <c r="A118" s="110" t="s">
        <v>11</v>
      </c>
      <c r="B118" s="53" t="s">
        <v>40</v>
      </c>
      <c r="C118" s="54"/>
      <c r="D118" s="55"/>
      <c r="E118" s="62"/>
    </row>
    <row r="119" spans="1:6" ht="15" customHeight="1">
      <c r="A119" s="6" t="s">
        <v>122</v>
      </c>
      <c r="B119" s="6"/>
      <c r="C119" s="97"/>
      <c r="D119" s="98">
        <f>SUM(D115:D118)</f>
        <v>0</v>
      </c>
      <c r="E119" s="62"/>
    </row>
    <row r="120" spans="1:6" ht="15">
      <c r="A120" s="88"/>
      <c r="B120" s="73"/>
      <c r="C120" s="74"/>
      <c r="D120" s="75"/>
      <c r="E120" s="62"/>
    </row>
    <row r="121" spans="1:6" ht="15">
      <c r="A121" s="111"/>
      <c r="B121" s="112" t="s">
        <v>123</v>
      </c>
      <c r="C121" s="113"/>
      <c r="D121" s="114">
        <f>D119+D111+D86+D67+D32</f>
        <v>4712.7356525479445</v>
      </c>
      <c r="E121" s="62"/>
    </row>
    <row r="122" spans="1:6" ht="15">
      <c r="A122" s="72"/>
      <c r="B122" s="73"/>
      <c r="C122" s="74"/>
      <c r="D122" s="75"/>
      <c r="E122" s="62"/>
    </row>
    <row r="123" spans="1:6" ht="15">
      <c r="A123" s="12" t="s">
        <v>124</v>
      </c>
      <c r="B123" s="12"/>
      <c r="C123" s="12"/>
      <c r="D123" s="12"/>
      <c r="E123" s="62"/>
    </row>
    <row r="124" spans="1:6" ht="15">
      <c r="A124" s="31">
        <v>6</v>
      </c>
      <c r="B124" s="51" t="s">
        <v>125</v>
      </c>
      <c r="C124" s="52" t="s">
        <v>29</v>
      </c>
      <c r="D124" s="30" t="s">
        <v>30</v>
      </c>
      <c r="E124" s="62"/>
    </row>
    <row r="125" spans="1:6" ht="15">
      <c r="A125" s="31" t="s">
        <v>3</v>
      </c>
      <c r="B125" s="27" t="s">
        <v>126</v>
      </c>
      <c r="C125" s="54">
        <f>'Memoria de Cálculo'!C107</f>
        <v>0.03</v>
      </c>
      <c r="D125" s="55">
        <f>C125*D121</f>
        <v>141.38206957643834</v>
      </c>
      <c r="E125" s="62"/>
    </row>
    <row r="126" spans="1:6" ht="15">
      <c r="A126" s="31" t="s">
        <v>5</v>
      </c>
      <c r="B126" s="27" t="s">
        <v>127</v>
      </c>
      <c r="C126" s="54">
        <f>'Memoria de Cálculo'!C108</f>
        <v>6.7900000000000002E-2</v>
      </c>
      <c r="D126" s="55">
        <f>(D125+D121)*C126</f>
        <v>329.59459333224555</v>
      </c>
    </row>
    <row r="127" spans="1:6" ht="15">
      <c r="A127" s="31" t="s">
        <v>8</v>
      </c>
      <c r="B127" s="51" t="s">
        <v>128</v>
      </c>
      <c r="C127" s="67"/>
      <c r="D127" s="115"/>
    </row>
    <row r="128" spans="1:6" ht="15">
      <c r="A128" s="31"/>
      <c r="B128" s="27" t="s">
        <v>129</v>
      </c>
      <c r="C128" s="54">
        <f>'Memoria de Cálculo'!C110</f>
        <v>9.2499999999999999E-2</v>
      </c>
      <c r="D128" s="55">
        <f>(($D$126+$D$125+$D$121)/(1-SUM($C$128:$C$130))*C128)</f>
        <v>559.17596405800373</v>
      </c>
      <c r="F128" s="116"/>
    </row>
    <row r="129" spans="1:6" ht="15">
      <c r="A129" s="31"/>
      <c r="B129" s="27" t="s">
        <v>130</v>
      </c>
      <c r="C129" s="54">
        <f>'Memoria de Cálculo'!C111</f>
        <v>0</v>
      </c>
      <c r="D129" s="55">
        <f>(($D$126+$D$125+$D$121)/(1-SUM($C$128:$C$130))*C129)</f>
        <v>0</v>
      </c>
    </row>
    <row r="130" spans="1:6" ht="15">
      <c r="A130" s="31"/>
      <c r="B130" s="27" t="s">
        <v>131</v>
      </c>
      <c r="C130" s="54">
        <f>'Memoria de Cálculo'!C112</f>
        <v>0.05</v>
      </c>
      <c r="D130" s="55">
        <f>(($D$126+$D$125+$D$121)/(1-SUM($C$128:$C$130))*C130)</f>
        <v>302.25727786919123</v>
      </c>
    </row>
    <row r="131" spans="1:6" ht="15">
      <c r="A131" s="5" t="s">
        <v>132</v>
      </c>
      <c r="B131" s="5"/>
      <c r="C131" s="117">
        <f>SUM(C125:C130)</f>
        <v>0.2404</v>
      </c>
      <c r="D131" s="118">
        <f>SUM(D125:D130)</f>
        <v>1332.4099048358789</v>
      </c>
    </row>
    <row r="132" spans="1:6" ht="15">
      <c r="A132" s="33"/>
      <c r="B132" s="119"/>
      <c r="C132" s="101"/>
      <c r="D132" s="120"/>
      <c r="F132" s="116"/>
    </row>
    <row r="133" spans="1:6" ht="15">
      <c r="A133" s="33"/>
      <c r="B133" s="121"/>
      <c r="C133" s="122"/>
      <c r="D133" s="123"/>
      <c r="F133" s="116"/>
    </row>
    <row r="134" spans="1:6" ht="15">
      <c r="A134" s="12" t="s">
        <v>133</v>
      </c>
      <c r="B134" s="12"/>
      <c r="C134" s="12"/>
      <c r="D134" s="12"/>
    </row>
    <row r="135" spans="1:6" ht="15">
      <c r="A135" s="65" t="s">
        <v>134</v>
      </c>
      <c r="B135" s="124"/>
      <c r="C135" s="125"/>
      <c r="D135" s="30" t="s">
        <v>30</v>
      </c>
      <c r="F135" s="126"/>
    </row>
    <row r="136" spans="1:6" ht="18" customHeight="1">
      <c r="A136" s="127" t="s">
        <v>3</v>
      </c>
      <c r="B136" s="128" t="str">
        <f>A23</f>
        <v>MÓDULO 1 - COMPOSIÇÃO DA REMUNERAÇÃO</v>
      </c>
      <c r="C136" s="28"/>
      <c r="D136" s="129">
        <f>D32</f>
        <v>2128.35</v>
      </c>
    </row>
    <row r="137" spans="1:6" ht="28.5">
      <c r="A137" s="127" t="s">
        <v>5</v>
      </c>
      <c r="B137" s="128" t="str">
        <f>A34</f>
        <v>MÓDULO 2 – ENCARGOS E BENEFÍCIOS ANUAIS, MENSAIS E DIÁRIOS</v>
      </c>
      <c r="C137" s="28"/>
      <c r="D137" s="129">
        <f>D67</f>
        <v>1838.9919999999997</v>
      </c>
    </row>
    <row r="138" spans="1:6" ht="20.25" customHeight="1">
      <c r="A138" s="127" t="s">
        <v>8</v>
      </c>
      <c r="B138" s="128" t="str">
        <f>A69</f>
        <v>MÓDULO 3 – PROVISÃO PARA RESCISÃO</v>
      </c>
      <c r="C138" s="28"/>
      <c r="D138" s="129">
        <f>D86</f>
        <v>179.40808083333334</v>
      </c>
    </row>
    <row r="139" spans="1:6" ht="33" customHeight="1">
      <c r="A139" s="127" t="s">
        <v>11</v>
      </c>
      <c r="B139" s="128" t="str">
        <f>A88</f>
        <v>MÓDULO 4 – CUSTO DE REPOSIÇÃO DO PROFISSIONAL AUSENTE</v>
      </c>
      <c r="C139" s="28"/>
      <c r="D139" s="129">
        <f>D111</f>
        <v>565.98557171461175</v>
      </c>
    </row>
    <row r="140" spans="1:6" ht="22.5" customHeight="1">
      <c r="A140" s="127" t="s">
        <v>35</v>
      </c>
      <c r="B140" s="128" t="str">
        <f>A113</f>
        <v>MÓDULO 5 – INSUMOS DIVERSOS</v>
      </c>
      <c r="C140" s="28"/>
      <c r="D140" s="129">
        <f>D119</f>
        <v>0</v>
      </c>
    </row>
    <row r="141" spans="1:6" ht="23.25" customHeight="1">
      <c r="A141" s="4" t="s">
        <v>135</v>
      </c>
      <c r="B141" s="4"/>
      <c r="C141" s="4"/>
      <c r="D141" s="130">
        <f>SUM(D136:D140)</f>
        <v>4712.7356525479454</v>
      </c>
    </row>
    <row r="142" spans="1:6" ht="27.6" customHeight="1">
      <c r="A142" s="26" t="s">
        <v>37</v>
      </c>
      <c r="B142" s="27" t="str">
        <f>A123</f>
        <v>MÓDULO 6 – CUSTOS INDIRETOS, TRIBUTOS E LUCRO</v>
      </c>
      <c r="C142" s="28"/>
      <c r="D142" s="129">
        <f>D131</f>
        <v>1332.4099048358789</v>
      </c>
    </row>
    <row r="143" spans="1:6" ht="21" customHeight="1">
      <c r="A143" s="3" t="s">
        <v>136</v>
      </c>
      <c r="B143" s="3"/>
      <c r="C143" s="3"/>
      <c r="D143" s="131">
        <f>ROUND(D142+D141,2)</f>
        <v>6045.15</v>
      </c>
    </row>
    <row r="144" spans="1:6" ht="13.15" customHeight="1"/>
    <row r="145" spans="1:7" ht="18.75" customHeight="1">
      <c r="A145" s="2" t="s">
        <v>137</v>
      </c>
      <c r="B145" s="2"/>
      <c r="C145" s="2"/>
      <c r="D145" s="2"/>
      <c r="E145" s="2"/>
      <c r="F145" s="2"/>
      <c r="G145" s="2"/>
    </row>
    <row r="146" spans="1:7" ht="78.599999999999994" customHeight="1">
      <c r="A146" s="132"/>
      <c r="B146" s="133" t="s">
        <v>138</v>
      </c>
      <c r="C146" s="134" t="s">
        <v>139</v>
      </c>
      <c r="D146" s="135" t="s">
        <v>140</v>
      </c>
      <c r="E146" s="134" t="s">
        <v>141</v>
      </c>
      <c r="F146" s="134" t="s">
        <v>142</v>
      </c>
      <c r="G146" s="136" t="s">
        <v>143</v>
      </c>
    </row>
    <row r="147" spans="1:7" ht="47.25" customHeight="1">
      <c r="A147" s="132"/>
      <c r="B147" s="137" t="s">
        <v>144</v>
      </c>
      <c r="C147" s="138">
        <f>D143</f>
        <v>6045.15</v>
      </c>
      <c r="D147" s="139">
        <v>1</v>
      </c>
      <c r="E147" s="138">
        <f>C147*D147</f>
        <v>6045.15</v>
      </c>
      <c r="F147" s="140">
        <v>83</v>
      </c>
      <c r="G147" s="138">
        <f>F147*E147</f>
        <v>501747.44999999995</v>
      </c>
    </row>
    <row r="148" spans="1:7" ht="27" customHeight="1">
      <c r="A148" s="42"/>
      <c r="B148" s="141"/>
      <c r="C148" s="142"/>
      <c r="D148" s="1" t="s">
        <v>145</v>
      </c>
      <c r="E148" s="1"/>
      <c r="F148" s="1"/>
      <c r="G148" s="143">
        <f>G147</f>
        <v>501747.44999999995</v>
      </c>
    </row>
    <row r="149" spans="1:7" ht="13.9" customHeight="1"/>
    <row r="150" spans="1:7" ht="18" customHeight="1">
      <c r="A150" s="274" t="s">
        <v>146</v>
      </c>
      <c r="B150" s="274"/>
      <c r="C150" s="274"/>
      <c r="D150" s="144"/>
    </row>
    <row r="151" spans="1:7" ht="18" customHeight="1">
      <c r="A151" s="275" t="s">
        <v>147</v>
      </c>
      <c r="B151" s="275"/>
      <c r="C151" s="275"/>
      <c r="D151" s="145"/>
    </row>
    <row r="152" spans="1:7" ht="18" customHeight="1">
      <c r="A152" s="146"/>
      <c r="B152" s="147" t="s">
        <v>148</v>
      </c>
      <c r="C152" s="148" t="s">
        <v>149</v>
      </c>
      <c r="D152" s="145"/>
    </row>
    <row r="153" spans="1:7" ht="19.149999999999999" customHeight="1">
      <c r="A153" s="149" t="s">
        <v>3</v>
      </c>
      <c r="B153" s="150" t="s">
        <v>150</v>
      </c>
      <c r="C153" s="151">
        <f>E147</f>
        <v>6045.15</v>
      </c>
      <c r="D153" s="144"/>
    </row>
    <row r="154" spans="1:7" ht="18" customHeight="1">
      <c r="A154" s="152" t="s">
        <v>5</v>
      </c>
      <c r="B154" s="153" t="s">
        <v>151</v>
      </c>
      <c r="C154" s="154">
        <f>G147</f>
        <v>501747.44999999995</v>
      </c>
      <c r="D154" s="144"/>
    </row>
    <row r="155" spans="1:7" ht="32.25" customHeight="1">
      <c r="A155" s="155" t="s">
        <v>8</v>
      </c>
      <c r="B155" s="156" t="s">
        <v>152</v>
      </c>
      <c r="C155" s="157">
        <f>C154*30</f>
        <v>15052423.499999998</v>
      </c>
      <c r="D155" s="144"/>
    </row>
    <row r="156" spans="1:7">
      <c r="A156" s="33"/>
      <c r="D156" s="64"/>
    </row>
    <row r="157" spans="1:7" ht="15">
      <c r="B157" s="158"/>
      <c r="C157" s="159"/>
    </row>
    <row r="159" spans="1:7" ht="15">
      <c r="B159" s="160"/>
    </row>
    <row r="160" spans="1:7" ht="15">
      <c r="A160" s="116"/>
      <c r="B160" s="161"/>
    </row>
    <row r="163" spans="1:1">
      <c r="A163" s="83"/>
    </row>
    <row r="164" spans="1:1">
      <c r="A164" s="83"/>
    </row>
  </sheetData>
  <mergeCells count="44">
    <mergeCell ref="A145:G145"/>
    <mergeCell ref="D148:F148"/>
    <mergeCell ref="A150:C150"/>
    <mergeCell ref="A151:C151"/>
    <mergeCell ref="A123:D123"/>
    <mergeCell ref="A131:B131"/>
    <mergeCell ref="A134:D134"/>
    <mergeCell ref="A141:C141"/>
    <mergeCell ref="A143:C143"/>
    <mergeCell ref="A108:B108"/>
    <mergeCell ref="A111:B111"/>
    <mergeCell ref="A113:D113"/>
    <mergeCell ref="A114:B114"/>
    <mergeCell ref="A119:B119"/>
    <mergeCell ref="A88:D88"/>
    <mergeCell ref="A89:B89"/>
    <mergeCell ref="A99:B99"/>
    <mergeCell ref="A105:B105"/>
    <mergeCell ref="A107:D107"/>
    <mergeCell ref="A76:B76"/>
    <mergeCell ref="A80:B80"/>
    <mergeCell ref="A82:D82"/>
    <mergeCell ref="A83:B83"/>
    <mergeCell ref="A86:B86"/>
    <mergeCell ref="A63:B63"/>
    <mergeCell ref="A67:B67"/>
    <mergeCell ref="A69:D69"/>
    <mergeCell ref="A70:B70"/>
    <mergeCell ref="A74:B74"/>
    <mergeCell ref="A42:B42"/>
    <mergeCell ref="A51:B51"/>
    <mergeCell ref="A53:B53"/>
    <mergeCell ref="A60:B60"/>
    <mergeCell ref="A62:D62"/>
    <mergeCell ref="A23:D23"/>
    <mergeCell ref="A32:B32"/>
    <mergeCell ref="A34:D34"/>
    <mergeCell ref="A35:B35"/>
    <mergeCell ref="A40:B40"/>
    <mergeCell ref="A2:B2"/>
    <mergeCell ref="C2:D2"/>
    <mergeCell ref="A4:D4"/>
    <mergeCell ref="A10:D10"/>
    <mergeCell ref="A16:D16"/>
  </mergeCells>
  <pageMargins left="0.59027777777777801" right="0.196527777777778" top="0.39374999999999999" bottom="0.39374999999999999" header="0.511811023622047" footer="0.511811023622047"/>
  <pageSetup paperSize="9" scale="60" orientation="portrait" horizontalDpi="300" verticalDpi="300" r:id="rId1"/>
  <rowBreaks count="2" manualBreakCount="2">
    <brk id="60" max="16383" man="1"/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36"/>
  <sheetViews>
    <sheetView view="pageBreakPreview" topLeftCell="D31" zoomScaleNormal="66" workbookViewId="0">
      <selection activeCell="E36" sqref="E36"/>
    </sheetView>
  </sheetViews>
  <sheetFormatPr defaultColWidth="9.140625" defaultRowHeight="15"/>
  <cols>
    <col min="1" max="1" width="4" style="162" customWidth="1"/>
    <col min="2" max="2" width="101.42578125" style="162" customWidth="1"/>
    <col min="3" max="3" width="26.5703125" style="162" customWidth="1"/>
    <col min="4" max="4" width="51.28515625" style="162" customWidth="1"/>
    <col min="5" max="5" width="70.5703125" style="162" customWidth="1"/>
    <col min="6" max="6" width="18.140625" style="162" customWidth="1"/>
    <col min="7" max="7" width="14.42578125" style="162" customWidth="1"/>
    <col min="8" max="8" width="13.7109375" style="162" customWidth="1"/>
    <col min="9" max="9" width="13" style="162" customWidth="1"/>
    <col min="10" max="10" width="5.140625" style="162" customWidth="1"/>
    <col min="11" max="11" width="19.85546875" style="162" customWidth="1"/>
    <col min="12" max="12" width="15.140625" style="162" customWidth="1"/>
    <col min="13" max="13" width="13.42578125" style="162" customWidth="1"/>
    <col min="14" max="14" width="15.85546875" style="162" customWidth="1"/>
    <col min="15" max="1024" width="9.140625" style="162"/>
  </cols>
  <sheetData>
    <row r="1" spans="1:5" ht="39.75" customHeight="1">
      <c r="B1" s="163" t="s">
        <v>153</v>
      </c>
      <c r="D1" s="164"/>
    </row>
    <row r="2" spans="1:5" ht="16.5" customHeight="1">
      <c r="A2" s="276" t="s">
        <v>154</v>
      </c>
      <c r="B2" s="276"/>
      <c r="C2" s="276"/>
      <c r="D2" s="166"/>
    </row>
    <row r="3" spans="1:5" ht="15.75" customHeight="1">
      <c r="A3" s="276" t="s">
        <v>155</v>
      </c>
      <c r="B3" s="276"/>
      <c r="C3" s="167" t="s">
        <v>149</v>
      </c>
      <c r="D3" s="168"/>
    </row>
    <row r="4" spans="1:5" ht="13.9" customHeight="1">
      <c r="A4" s="277" t="s">
        <v>156</v>
      </c>
      <c r="B4" s="277"/>
      <c r="C4" s="169">
        <f>1520.25*1.4</f>
        <v>2128.35</v>
      </c>
      <c r="D4" s="170" t="s">
        <v>157</v>
      </c>
    </row>
    <row r="7" spans="1:5">
      <c r="B7" s="163" t="s">
        <v>158</v>
      </c>
    </row>
    <row r="8" spans="1:5">
      <c r="B8" s="163" t="s">
        <v>159</v>
      </c>
    </row>
    <row r="9" spans="1:5" ht="18" customHeight="1">
      <c r="A9" s="171"/>
      <c r="B9" s="167" t="s">
        <v>160</v>
      </c>
      <c r="C9" s="172" t="s">
        <v>29</v>
      </c>
      <c r="D9" s="173" t="s">
        <v>161</v>
      </c>
      <c r="E9" s="173" t="s">
        <v>162</v>
      </c>
    </row>
    <row r="10" spans="1:5" ht="30">
      <c r="A10" s="174" t="s">
        <v>3</v>
      </c>
      <c r="B10" s="175" t="s">
        <v>163</v>
      </c>
      <c r="C10" s="176">
        <f>1/12</f>
        <v>8.3333333333333329E-2</v>
      </c>
      <c r="D10" s="177" t="s">
        <v>164</v>
      </c>
      <c r="E10" s="177" t="s">
        <v>165</v>
      </c>
    </row>
    <row r="11" spans="1:5" ht="35.25" customHeight="1">
      <c r="A11" s="174" t="s">
        <v>5</v>
      </c>
      <c r="B11" s="175" t="s">
        <v>45</v>
      </c>
      <c r="C11" s="178">
        <f>C10/3</f>
        <v>2.7777777777777776E-2</v>
      </c>
      <c r="D11" s="179" t="s">
        <v>166</v>
      </c>
      <c r="E11" s="179" t="s">
        <v>167</v>
      </c>
    </row>
    <row r="12" spans="1:5">
      <c r="A12" s="180"/>
      <c r="B12" s="181" t="s">
        <v>168</v>
      </c>
      <c r="C12" s="178">
        <f>C11+C10</f>
        <v>0.1111111111111111</v>
      </c>
      <c r="D12" s="182"/>
      <c r="E12" s="183"/>
    </row>
    <row r="13" spans="1:5">
      <c r="A13" s="180"/>
      <c r="B13" s="181" t="s">
        <v>169</v>
      </c>
      <c r="C13" s="178">
        <f>C25*C12</f>
        <v>4.4222222222222225E-2</v>
      </c>
      <c r="D13" s="182"/>
      <c r="E13" s="183"/>
    </row>
    <row r="14" spans="1:5">
      <c r="B14" s="163"/>
    </row>
    <row r="15" spans="1:5" ht="42.75">
      <c r="B15" s="163" t="s">
        <v>170</v>
      </c>
    </row>
    <row r="16" spans="1:5">
      <c r="A16" s="171"/>
      <c r="B16" s="167" t="s">
        <v>160</v>
      </c>
      <c r="C16" s="167" t="s">
        <v>29</v>
      </c>
      <c r="D16" s="167" t="s">
        <v>171</v>
      </c>
      <c r="E16" s="167" t="s">
        <v>162</v>
      </c>
    </row>
    <row r="17" spans="1:14">
      <c r="A17" s="174" t="s">
        <v>3</v>
      </c>
      <c r="B17" s="175" t="s">
        <v>172</v>
      </c>
      <c r="C17" s="184">
        <v>0.2</v>
      </c>
      <c r="D17" s="185" t="s">
        <v>173</v>
      </c>
      <c r="E17" s="183" t="s">
        <v>174</v>
      </c>
    </row>
    <row r="18" spans="1:14">
      <c r="A18" s="174" t="s">
        <v>5</v>
      </c>
      <c r="B18" s="175" t="s">
        <v>175</v>
      </c>
      <c r="C18" s="184">
        <v>2.5000000000000001E-2</v>
      </c>
      <c r="D18" s="185" t="s">
        <v>173</v>
      </c>
      <c r="E18" s="183" t="s">
        <v>176</v>
      </c>
    </row>
    <row r="19" spans="1:14">
      <c r="A19" s="174" t="s">
        <v>8</v>
      </c>
      <c r="B19" s="175" t="s">
        <v>177</v>
      </c>
      <c r="C19" s="184">
        <v>0.06</v>
      </c>
      <c r="D19" s="185" t="s">
        <v>173</v>
      </c>
      <c r="E19" s="183"/>
    </row>
    <row r="20" spans="1:14">
      <c r="A20" s="174" t="s">
        <v>11</v>
      </c>
      <c r="B20" s="175" t="s">
        <v>53</v>
      </c>
      <c r="C20" s="184">
        <v>1.4999999999999999E-2</v>
      </c>
      <c r="D20" s="185" t="s">
        <v>173</v>
      </c>
      <c r="E20" s="183" t="s">
        <v>178</v>
      </c>
    </row>
    <row r="21" spans="1:14">
      <c r="A21" s="174" t="s">
        <v>35</v>
      </c>
      <c r="B21" s="175" t="s">
        <v>179</v>
      </c>
      <c r="C21" s="184">
        <v>0.01</v>
      </c>
      <c r="D21" s="185" t="s">
        <v>173</v>
      </c>
      <c r="E21" s="183" t="s">
        <v>180</v>
      </c>
    </row>
    <row r="22" spans="1:14">
      <c r="A22" s="174" t="s">
        <v>37</v>
      </c>
      <c r="B22" s="175" t="s">
        <v>181</v>
      </c>
      <c r="C22" s="184">
        <v>6.0000000000000001E-3</v>
      </c>
      <c r="D22" s="185" t="s">
        <v>173</v>
      </c>
      <c r="E22" s="183" t="s">
        <v>182</v>
      </c>
    </row>
    <row r="23" spans="1:14">
      <c r="A23" s="174" t="s">
        <v>39</v>
      </c>
      <c r="B23" s="175" t="s">
        <v>183</v>
      </c>
      <c r="C23" s="184">
        <v>2E-3</v>
      </c>
      <c r="D23" s="185"/>
      <c r="E23" s="183" t="s">
        <v>184</v>
      </c>
    </row>
    <row r="24" spans="1:14">
      <c r="A24" s="174" t="s">
        <v>57</v>
      </c>
      <c r="B24" s="175" t="s">
        <v>185</v>
      </c>
      <c r="C24" s="184">
        <v>0.08</v>
      </c>
      <c r="D24" s="185" t="s">
        <v>173</v>
      </c>
      <c r="E24" s="183" t="s">
        <v>186</v>
      </c>
    </row>
    <row r="25" spans="1:14">
      <c r="A25" s="180"/>
      <c r="B25" s="181" t="s">
        <v>187</v>
      </c>
      <c r="C25" s="186">
        <v>0.39800000000000002</v>
      </c>
    </row>
    <row r="26" spans="1:14" ht="71.25" customHeight="1">
      <c r="B26" s="278" t="s">
        <v>188</v>
      </c>
      <c r="C26" s="278"/>
      <c r="D26" s="278"/>
      <c r="E26" s="278"/>
    </row>
    <row r="27" spans="1:14" ht="34.5" customHeight="1">
      <c r="B27" s="278" t="s">
        <v>189</v>
      </c>
      <c r="C27" s="278"/>
      <c r="D27" s="278"/>
      <c r="E27" s="278"/>
      <c r="F27" s="187"/>
      <c r="G27" s="187"/>
      <c r="H27" s="187"/>
      <c r="I27" s="187"/>
      <c r="J27" s="187"/>
      <c r="K27" s="187"/>
      <c r="L27" s="187"/>
      <c r="M27" s="187"/>
      <c r="N27" s="187"/>
    </row>
    <row r="28" spans="1:14" ht="15.75" customHeight="1">
      <c r="B28" s="163"/>
      <c r="F28" s="279" t="s">
        <v>190</v>
      </c>
      <c r="G28" s="279"/>
      <c r="H28" s="279"/>
      <c r="I28" s="279"/>
      <c r="J28" s="279"/>
      <c r="K28" s="279"/>
      <c r="L28" s="279"/>
      <c r="M28" s="279"/>
      <c r="N28" s="279"/>
    </row>
    <row r="29" spans="1:14" ht="15.75" customHeight="1">
      <c r="B29" s="163" t="s">
        <v>191</v>
      </c>
      <c r="F29" s="280" t="s">
        <v>192</v>
      </c>
      <c r="G29" s="280"/>
      <c r="H29" s="280"/>
      <c r="I29" s="280"/>
      <c r="J29" s="188"/>
      <c r="K29" s="280" t="s">
        <v>144</v>
      </c>
      <c r="L29" s="280"/>
      <c r="M29" s="280"/>
      <c r="N29" s="280"/>
    </row>
    <row r="30" spans="1:14" ht="15.75" customHeight="1">
      <c r="A30" s="189"/>
      <c r="B30" s="167" t="s">
        <v>160</v>
      </c>
      <c r="C30" s="281" t="s">
        <v>171</v>
      </c>
      <c r="D30" s="281"/>
      <c r="E30" s="190" t="s">
        <v>162</v>
      </c>
      <c r="F30" s="191" t="s">
        <v>193</v>
      </c>
      <c r="G30" s="191" t="s">
        <v>194</v>
      </c>
      <c r="H30" s="191"/>
      <c r="I30" s="191" t="s">
        <v>195</v>
      </c>
      <c r="J30" s="188"/>
      <c r="K30" s="192" t="s">
        <v>193</v>
      </c>
      <c r="L30" s="192" t="s">
        <v>194</v>
      </c>
      <c r="M30" s="192"/>
      <c r="N30" s="192" t="s">
        <v>195</v>
      </c>
    </row>
    <row r="31" spans="1:14" ht="105" customHeight="1">
      <c r="A31" s="193" t="s">
        <v>3</v>
      </c>
      <c r="B31" s="175" t="s">
        <v>196</v>
      </c>
      <c r="C31" s="282" t="s">
        <v>197</v>
      </c>
      <c r="D31" s="282"/>
      <c r="E31" s="194" t="s">
        <v>198</v>
      </c>
      <c r="F31" s="195"/>
      <c r="G31" s="195"/>
      <c r="H31" s="195"/>
      <c r="I31" s="196">
        <f>ROUND(SUM(F31:H31)/3,2)</f>
        <v>0</v>
      </c>
      <c r="J31" s="197"/>
      <c r="K31" s="195"/>
      <c r="L31" s="195"/>
      <c r="M31" s="195"/>
      <c r="N31" s="195"/>
    </row>
    <row r="32" spans="1:14" ht="44.25">
      <c r="A32" s="193" t="s">
        <v>5</v>
      </c>
      <c r="B32" s="175" t="s">
        <v>62</v>
      </c>
      <c r="C32" s="283">
        <f>383.59*1.4</f>
        <v>537.02599999999995</v>
      </c>
      <c r="D32" s="283"/>
      <c r="E32" s="198" t="s">
        <v>199</v>
      </c>
      <c r="F32" s="199"/>
      <c r="G32" s="199"/>
      <c r="H32" s="199"/>
      <c r="I32" s="199"/>
      <c r="J32" s="200"/>
      <c r="K32" s="199"/>
      <c r="L32" s="199"/>
      <c r="M32" s="199"/>
      <c r="N32" s="199"/>
    </row>
    <row r="33" spans="1:14" ht="81.75" customHeight="1">
      <c r="A33" s="193" t="s">
        <v>8</v>
      </c>
      <c r="B33" s="175" t="s">
        <v>200</v>
      </c>
      <c r="C33" s="284">
        <f>I33</f>
        <v>61.68</v>
      </c>
      <c r="D33" s="284"/>
      <c r="E33" s="201" t="s">
        <v>270</v>
      </c>
      <c r="F33" s="202"/>
      <c r="G33" s="202"/>
      <c r="H33" s="202"/>
      <c r="I33" s="203">
        <v>61.68</v>
      </c>
      <c r="J33" s="204"/>
      <c r="K33" s="205">
        <v>81.62</v>
      </c>
      <c r="L33" s="205">
        <v>46.36</v>
      </c>
      <c r="M33" s="205"/>
      <c r="N33" s="196">
        <f>ROUND(SUM(K33:M33)/2,2)</f>
        <v>63.99</v>
      </c>
    </row>
    <row r="34" spans="1:14">
      <c r="A34" s="193" t="s">
        <v>11</v>
      </c>
      <c r="B34" s="175" t="s">
        <v>64</v>
      </c>
      <c r="C34" s="285"/>
      <c r="D34" s="285"/>
      <c r="E34" s="206"/>
      <c r="F34" s="202"/>
      <c r="G34" s="202"/>
      <c r="H34" s="202"/>
      <c r="I34" s="196"/>
      <c r="J34" s="204"/>
      <c r="K34" s="207"/>
      <c r="L34" s="207"/>
      <c r="M34" s="207"/>
      <c r="N34" s="196"/>
    </row>
    <row r="35" spans="1:14">
      <c r="A35" s="193" t="s">
        <v>35</v>
      </c>
      <c r="B35" s="175" t="s">
        <v>65</v>
      </c>
      <c r="C35" s="284">
        <f>I35</f>
        <v>14.3</v>
      </c>
      <c r="D35" s="284"/>
      <c r="E35" s="194" t="s">
        <v>270</v>
      </c>
      <c r="F35" s="202"/>
      <c r="G35" s="202"/>
      <c r="H35" s="202"/>
      <c r="I35" s="203">
        <v>14.3</v>
      </c>
      <c r="J35" s="204"/>
      <c r="K35" s="205">
        <v>8.59</v>
      </c>
      <c r="L35" s="205">
        <v>29.69</v>
      </c>
      <c r="M35" s="205"/>
      <c r="N35" s="196">
        <f>ROUND(SUM(K35:M35)/2,2)</f>
        <v>19.14</v>
      </c>
    </row>
    <row r="36" spans="1:14">
      <c r="A36" s="193" t="s">
        <v>37</v>
      </c>
      <c r="B36" s="175" t="s">
        <v>40</v>
      </c>
      <c r="C36" s="282"/>
      <c r="D36" s="282"/>
      <c r="E36" s="208"/>
    </row>
    <row r="37" spans="1:14">
      <c r="B37" s="163"/>
    </row>
    <row r="38" spans="1:14">
      <c r="B38" s="163" t="s">
        <v>201</v>
      </c>
    </row>
    <row r="39" spans="1:14">
      <c r="B39" s="163" t="s">
        <v>202</v>
      </c>
    </row>
    <row r="40" spans="1:14" ht="18" customHeight="1">
      <c r="A40" s="189"/>
      <c r="B40" s="167" t="s">
        <v>160</v>
      </c>
      <c r="C40" s="165" t="s">
        <v>29</v>
      </c>
      <c r="D40" s="209" t="s">
        <v>161</v>
      </c>
      <c r="E40" s="209" t="s">
        <v>162</v>
      </c>
    </row>
    <row r="41" spans="1:14" ht="16.5">
      <c r="A41" s="210" t="s">
        <v>3</v>
      </c>
      <c r="B41" s="211" t="s">
        <v>203</v>
      </c>
      <c r="C41" s="184">
        <f>1/12*0.1</f>
        <v>8.3333333333333332E-3</v>
      </c>
      <c r="D41" s="183" t="s">
        <v>204</v>
      </c>
      <c r="E41" s="183" t="s">
        <v>205</v>
      </c>
    </row>
    <row r="42" spans="1:14" ht="38.450000000000003" customHeight="1">
      <c r="A42" s="193" t="s">
        <v>5</v>
      </c>
      <c r="B42" s="175" t="s">
        <v>79</v>
      </c>
      <c r="C42" s="184">
        <f>C41*0.08</f>
        <v>6.6666666666666664E-4</v>
      </c>
      <c r="D42" s="212" t="s">
        <v>206</v>
      </c>
      <c r="E42" s="182" t="s">
        <v>207</v>
      </c>
    </row>
    <row r="43" spans="1:14" ht="30">
      <c r="A43" s="193" t="s">
        <v>8</v>
      </c>
      <c r="B43" s="175" t="s">
        <v>208</v>
      </c>
      <c r="C43" s="184">
        <f>0.08*0.5*0.1*(1+(1/12)+(1/12)+((1/3)*(1/12))+(1/12))</f>
        <v>5.1111111111111097E-3</v>
      </c>
      <c r="D43" s="213" t="s">
        <v>209</v>
      </c>
      <c r="E43" s="183" t="s">
        <v>210</v>
      </c>
      <c r="H43" s="214"/>
    </row>
    <row r="44" spans="1:14">
      <c r="A44" s="193"/>
      <c r="B44" s="181" t="s">
        <v>211</v>
      </c>
      <c r="C44" s="184"/>
      <c r="D44" s="185"/>
      <c r="E44" s="183"/>
    </row>
    <row r="45" spans="1:14">
      <c r="A45" s="215"/>
      <c r="B45" s="216"/>
      <c r="C45" s="217"/>
      <c r="D45" s="218"/>
      <c r="E45" s="168"/>
      <c r="H45" s="219"/>
    </row>
    <row r="46" spans="1:14" ht="54.75" customHeight="1">
      <c r="A46" s="215"/>
      <c r="B46" s="286" t="s">
        <v>212</v>
      </c>
      <c r="C46" s="286"/>
      <c r="D46" s="286"/>
      <c r="E46" s="286"/>
    </row>
    <row r="47" spans="1:14" ht="65.45" customHeight="1">
      <c r="A47" s="215"/>
      <c r="B47" s="286" t="s">
        <v>213</v>
      </c>
      <c r="C47" s="286"/>
      <c r="D47" s="286"/>
      <c r="E47" s="286"/>
    </row>
    <row r="48" spans="1:14">
      <c r="B48" s="163"/>
    </row>
    <row r="49" spans="1:1020">
      <c r="B49" s="163" t="s">
        <v>214</v>
      </c>
    </row>
    <row r="50" spans="1:1020">
      <c r="A50" s="189"/>
      <c r="B50" s="167" t="s">
        <v>160</v>
      </c>
      <c r="C50" s="165" t="s">
        <v>29</v>
      </c>
      <c r="D50" s="209" t="s">
        <v>161</v>
      </c>
      <c r="E50" s="209" t="s">
        <v>162</v>
      </c>
    </row>
    <row r="51" spans="1:1020" ht="16.5">
      <c r="A51" s="193" t="s">
        <v>3</v>
      </c>
      <c r="B51" s="220" t="s">
        <v>215</v>
      </c>
      <c r="C51" s="184">
        <f>((7/30)/12)</f>
        <v>1.9444444444444445E-2</v>
      </c>
      <c r="D51" s="183" t="s">
        <v>216</v>
      </c>
      <c r="E51" s="221" t="s">
        <v>217</v>
      </c>
    </row>
    <row r="52" spans="1:1020">
      <c r="A52" s="193" t="s">
        <v>5</v>
      </c>
      <c r="B52" s="220" t="s">
        <v>84</v>
      </c>
      <c r="C52" s="184">
        <f>C51*C25</f>
        <v>7.7388888888888898E-3</v>
      </c>
      <c r="D52" s="179" t="s">
        <v>218</v>
      </c>
      <c r="E52" s="183"/>
    </row>
    <row r="53" spans="1:1020" ht="16.5">
      <c r="A53" s="193" t="s">
        <v>8</v>
      </c>
      <c r="B53" s="220" t="s">
        <v>219</v>
      </c>
      <c r="C53" s="222">
        <f>0.08*0.5*0.9*(1+(1/12)+(1/12+1/3*1/12))</f>
        <v>4.3000000000000003E-2</v>
      </c>
      <c r="D53" s="223" t="s">
        <v>220</v>
      </c>
      <c r="E53" s="224" t="s">
        <v>221</v>
      </c>
    </row>
    <row r="54" spans="1:1020">
      <c r="A54" s="180"/>
      <c r="B54" s="220" t="s">
        <v>222</v>
      </c>
      <c r="C54" s="186"/>
      <c r="D54" s="225"/>
      <c r="E54" s="226"/>
    </row>
    <row r="55" spans="1:1020">
      <c r="A55" s="164"/>
      <c r="B55" s="216"/>
      <c r="C55" s="227"/>
      <c r="D55" s="228"/>
      <c r="E55" s="225"/>
    </row>
    <row r="56" spans="1:1020" ht="44.45" customHeight="1">
      <c r="A56" s="164"/>
      <c r="B56" s="286" t="s">
        <v>223</v>
      </c>
      <c r="C56" s="286"/>
      <c r="D56" s="286"/>
      <c r="E56" s="286"/>
    </row>
    <row r="57" spans="1:1020" ht="34.9" customHeight="1">
      <c r="A57" s="164"/>
      <c r="B57" s="286" t="s">
        <v>224</v>
      </c>
      <c r="C57" s="286"/>
      <c r="D57" s="286"/>
      <c r="E57" s="286"/>
    </row>
    <row r="58" spans="1:1020">
      <c r="A58" s="164"/>
      <c r="B58" s="216"/>
      <c r="C58" s="227"/>
      <c r="D58" s="225"/>
      <c r="E58" s="225"/>
    </row>
    <row r="59" spans="1:1020">
      <c r="A59" s="164"/>
      <c r="B59" s="216"/>
      <c r="C59" s="227"/>
      <c r="D59" s="225"/>
      <c r="E59" s="225"/>
    </row>
    <row r="60" spans="1:1020" s="229" customFormat="1">
      <c r="A60" s="162"/>
      <c r="B60" s="163" t="s">
        <v>225</v>
      </c>
      <c r="C60" s="168"/>
      <c r="D60" s="168"/>
      <c r="E60" s="168"/>
      <c r="F60" s="162"/>
      <c r="J60" s="162"/>
      <c r="O60" s="162"/>
      <c r="T60" s="162"/>
      <c r="Y60" s="162"/>
      <c r="AD60" s="162"/>
      <c r="AI60" s="162"/>
      <c r="AN60" s="162"/>
      <c r="AS60" s="162"/>
      <c r="AX60" s="162"/>
      <c r="BC60" s="162"/>
      <c r="BH60" s="162"/>
      <c r="BM60" s="162"/>
      <c r="BR60" s="162"/>
      <c r="BW60" s="162"/>
      <c r="CB60" s="162"/>
      <c r="CG60" s="162"/>
      <c r="CL60" s="162"/>
      <c r="CQ60" s="162"/>
      <c r="CV60" s="162"/>
      <c r="DA60" s="162"/>
      <c r="DF60" s="162"/>
      <c r="DK60" s="162"/>
      <c r="DP60" s="162"/>
      <c r="DU60" s="162"/>
      <c r="DZ60" s="162"/>
      <c r="EE60" s="162"/>
      <c r="EJ60" s="162"/>
      <c r="EO60" s="162"/>
      <c r="ET60" s="162"/>
      <c r="EY60" s="162"/>
      <c r="FD60" s="162"/>
      <c r="FI60" s="162"/>
      <c r="FN60" s="162"/>
      <c r="FS60" s="162"/>
      <c r="FX60" s="162"/>
      <c r="GC60" s="162"/>
      <c r="GH60" s="162"/>
      <c r="GM60" s="162"/>
      <c r="GR60" s="162"/>
      <c r="GW60" s="162"/>
      <c r="HB60" s="162"/>
      <c r="HG60" s="162"/>
      <c r="HL60" s="162"/>
      <c r="HQ60" s="162"/>
      <c r="HV60" s="162"/>
      <c r="IA60" s="162"/>
      <c r="IF60" s="162"/>
      <c r="IK60" s="162"/>
      <c r="IP60" s="162"/>
      <c r="IU60" s="162"/>
      <c r="IZ60" s="162"/>
      <c r="JE60" s="162"/>
      <c r="JJ60" s="162"/>
      <c r="JO60" s="162"/>
      <c r="JT60" s="162"/>
      <c r="JY60" s="162"/>
      <c r="KD60" s="162"/>
      <c r="KI60" s="162"/>
      <c r="KN60" s="162"/>
      <c r="KS60" s="162"/>
      <c r="KX60" s="162"/>
      <c r="LC60" s="162"/>
      <c r="LH60" s="162"/>
      <c r="LM60" s="162"/>
      <c r="LR60" s="162"/>
      <c r="LW60" s="162"/>
      <c r="MB60" s="162"/>
      <c r="MG60" s="162"/>
      <c r="ML60" s="162"/>
      <c r="MQ60" s="162"/>
      <c r="MV60" s="162"/>
      <c r="NA60" s="162"/>
      <c r="NF60" s="162"/>
      <c r="NK60" s="162"/>
      <c r="NP60" s="162"/>
      <c r="NU60" s="162"/>
      <c r="NZ60" s="162"/>
      <c r="OE60" s="162"/>
      <c r="OJ60" s="162"/>
      <c r="OO60" s="162"/>
      <c r="OT60" s="162"/>
      <c r="OY60" s="162"/>
      <c r="PD60" s="162"/>
      <c r="PI60" s="162"/>
      <c r="PN60" s="162"/>
      <c r="PS60" s="162"/>
      <c r="PX60" s="162"/>
      <c r="QC60" s="162"/>
      <c r="QH60" s="162"/>
      <c r="QM60" s="162"/>
      <c r="QR60" s="162"/>
      <c r="QW60" s="162"/>
      <c r="RB60" s="162"/>
      <c r="RG60" s="162"/>
      <c r="RL60" s="162"/>
      <c r="RQ60" s="162"/>
      <c r="RV60" s="162"/>
      <c r="SA60" s="162"/>
      <c r="SF60" s="162"/>
      <c r="SK60" s="162"/>
      <c r="SP60" s="162"/>
      <c r="SU60" s="162"/>
      <c r="SZ60" s="162"/>
      <c r="TE60" s="162"/>
      <c r="TJ60" s="162"/>
      <c r="TO60" s="162"/>
      <c r="TT60" s="162"/>
      <c r="TY60" s="162"/>
      <c r="UD60" s="162"/>
      <c r="UI60" s="162"/>
      <c r="UN60" s="162"/>
      <c r="US60" s="162"/>
      <c r="UX60" s="162"/>
      <c r="VC60" s="162"/>
      <c r="VH60" s="162"/>
      <c r="VM60" s="162"/>
      <c r="VR60" s="162"/>
      <c r="VW60" s="162"/>
      <c r="WB60" s="162"/>
      <c r="WG60" s="162"/>
      <c r="WL60" s="162"/>
      <c r="WQ60" s="162"/>
      <c r="WV60" s="162"/>
      <c r="XA60" s="162"/>
      <c r="XF60" s="162"/>
      <c r="XK60" s="162"/>
      <c r="XP60" s="162"/>
      <c r="XU60" s="162"/>
      <c r="XZ60" s="162"/>
      <c r="YE60" s="162"/>
      <c r="YJ60" s="162"/>
      <c r="YO60" s="162"/>
      <c r="YT60" s="162"/>
      <c r="YY60" s="162"/>
      <c r="ZD60" s="162"/>
      <c r="ZI60" s="162"/>
      <c r="ZN60" s="162"/>
      <c r="ZS60" s="162"/>
      <c r="ZX60" s="162"/>
      <c r="AAC60" s="162"/>
      <c r="AAH60" s="162"/>
      <c r="AAM60" s="162"/>
      <c r="AAR60" s="162"/>
      <c r="AAW60" s="162"/>
      <c r="ABB60" s="162"/>
      <c r="ABG60" s="162"/>
      <c r="ABL60" s="162"/>
      <c r="ABQ60" s="162"/>
      <c r="ABV60" s="162"/>
      <c r="ACA60" s="162"/>
      <c r="ACF60" s="162"/>
      <c r="ACK60" s="162"/>
      <c r="ACP60" s="162"/>
      <c r="ACU60" s="162"/>
      <c r="ACZ60" s="162"/>
      <c r="ADE60" s="162"/>
      <c r="ADJ60" s="162"/>
      <c r="ADO60" s="162"/>
      <c r="ADT60" s="162"/>
      <c r="ADY60" s="162"/>
      <c r="AED60" s="162"/>
      <c r="AEI60" s="162"/>
      <c r="AEN60" s="162"/>
      <c r="AES60" s="162"/>
      <c r="AEX60" s="162"/>
      <c r="AFC60" s="162"/>
      <c r="AFH60" s="162"/>
      <c r="AFM60" s="162"/>
      <c r="AFR60" s="162"/>
      <c r="AFW60" s="162"/>
      <c r="AGB60" s="162"/>
      <c r="AGG60" s="162"/>
      <c r="AGL60" s="162"/>
      <c r="AGQ60" s="162"/>
      <c r="AGV60" s="162"/>
      <c r="AHA60" s="162"/>
      <c r="AHF60" s="162"/>
      <c r="AHK60" s="162"/>
      <c r="AHP60" s="162"/>
      <c r="AHU60" s="162"/>
      <c r="AHZ60" s="162"/>
      <c r="AIE60" s="162"/>
      <c r="AIJ60" s="162"/>
      <c r="AIO60" s="162"/>
      <c r="AIT60" s="162"/>
      <c r="AIY60" s="162"/>
      <c r="AJD60" s="162"/>
      <c r="AJI60" s="162"/>
      <c r="AJN60" s="162"/>
      <c r="AJS60" s="162"/>
      <c r="AJX60" s="162"/>
      <c r="AKC60" s="162"/>
      <c r="AKH60" s="162"/>
      <c r="AKM60" s="162"/>
      <c r="AKR60" s="162"/>
      <c r="AKW60" s="162"/>
      <c r="ALB60" s="162"/>
      <c r="ALG60" s="162"/>
      <c r="ALL60" s="162"/>
      <c r="ALQ60" s="162"/>
      <c r="ALV60" s="162"/>
      <c r="AMA60" s="162"/>
      <c r="AMF60" s="162"/>
    </row>
    <row r="61" spans="1:1020">
      <c r="A61" s="230"/>
      <c r="B61" s="230"/>
      <c r="C61" s="230"/>
      <c r="D61" s="230"/>
      <c r="E61" s="230"/>
    </row>
    <row r="62" spans="1:1020">
      <c r="B62" s="163" t="s">
        <v>95</v>
      </c>
      <c r="C62" s="231"/>
      <c r="D62" s="231"/>
      <c r="E62" s="231"/>
    </row>
    <row r="63" spans="1:1020">
      <c r="A63" s="189"/>
      <c r="B63" s="167" t="s">
        <v>160</v>
      </c>
      <c r="C63" s="165" t="s">
        <v>29</v>
      </c>
      <c r="D63" s="209" t="s">
        <v>161</v>
      </c>
      <c r="E63" s="209" t="s">
        <v>162</v>
      </c>
    </row>
    <row r="64" spans="1:1020">
      <c r="A64" s="193" t="s">
        <v>3</v>
      </c>
      <c r="B64" s="175" t="s">
        <v>226</v>
      </c>
      <c r="C64" s="184">
        <f>1/12</f>
        <v>8.3333333333333329E-2</v>
      </c>
      <c r="D64" s="185"/>
      <c r="E64" s="221" t="s">
        <v>227</v>
      </c>
      <c r="G64" s="232"/>
    </row>
    <row r="65" spans="1:12">
      <c r="A65" s="193" t="s">
        <v>5</v>
      </c>
      <c r="B65" s="175" t="s">
        <v>97</v>
      </c>
      <c r="C65" s="184">
        <f>C64*C25</f>
        <v>3.3166666666666664E-2</v>
      </c>
      <c r="D65" s="185"/>
      <c r="E65" s="183"/>
    </row>
    <row r="66" spans="1:12" ht="16.5">
      <c r="A66" s="193" t="s">
        <v>8</v>
      </c>
      <c r="B66" s="175" t="s">
        <v>228</v>
      </c>
      <c r="C66" s="233">
        <f>(1/30)/12</f>
        <v>2.7777777777777779E-3</v>
      </c>
      <c r="D66" s="183" t="s">
        <v>229</v>
      </c>
      <c r="E66" s="183" t="s">
        <v>230</v>
      </c>
      <c r="I66" s="219"/>
    </row>
    <row r="67" spans="1:12" ht="75" customHeight="1">
      <c r="A67" s="193" t="s">
        <v>11</v>
      </c>
      <c r="B67" s="175" t="s">
        <v>231</v>
      </c>
      <c r="C67" s="233">
        <f>(((0.1344*2+0.0305*2*(252/365)+0.0118*3+0.02*1+0.004*1+0.0016*6)/30)/12)</f>
        <v>1.0553196347031963E-3</v>
      </c>
      <c r="D67" s="213" t="s">
        <v>232</v>
      </c>
      <c r="E67" s="183" t="s">
        <v>233</v>
      </c>
      <c r="I67" s="219"/>
    </row>
    <row r="68" spans="1:12" ht="16.5">
      <c r="A68" s="193" t="s">
        <v>35</v>
      </c>
      <c r="B68" s="175" t="s">
        <v>234</v>
      </c>
      <c r="C68" s="233">
        <f>((1*5*(252/365))/30)/12</f>
        <v>9.5890410958904115E-3</v>
      </c>
      <c r="D68" s="183" t="s">
        <v>235</v>
      </c>
      <c r="E68" s="183" t="s">
        <v>236</v>
      </c>
      <c r="I68" s="219"/>
    </row>
    <row r="69" spans="1:12" ht="30">
      <c r="A69" s="193" t="s">
        <v>37</v>
      </c>
      <c r="B69" s="175" t="s">
        <v>237</v>
      </c>
      <c r="C69" s="233">
        <f>((5/30)/12)*0.0143*(252/365)</f>
        <v>1.3712328767123287E-4</v>
      </c>
      <c r="D69" s="183" t="s">
        <v>238</v>
      </c>
      <c r="E69" s="183" t="s">
        <v>239</v>
      </c>
      <c r="I69" s="219"/>
    </row>
    <row r="70" spans="1:12" ht="16.5">
      <c r="A70" s="193" t="s">
        <v>39</v>
      </c>
      <c r="B70" s="175" t="s">
        <v>240</v>
      </c>
      <c r="C70" s="233">
        <f>((15/30)/12*(0.0922*(252/365)))</f>
        <v>2.6523287671232879E-3</v>
      </c>
      <c r="D70" s="183" t="s">
        <v>241</v>
      </c>
      <c r="E70" s="183" t="s">
        <v>242</v>
      </c>
      <c r="H70" s="232"/>
      <c r="I70" s="219"/>
    </row>
    <row r="71" spans="1:12" ht="45">
      <c r="A71" s="193" t="s">
        <v>57</v>
      </c>
      <c r="B71" s="175" t="s">
        <v>243</v>
      </c>
      <c r="C71" s="233">
        <f>((1+(1/3))*((4/12))/12*(0.0197*(252/365)))</f>
        <v>5.0374429223744288E-4</v>
      </c>
      <c r="D71" s="183" t="s">
        <v>244</v>
      </c>
      <c r="E71" s="221" t="s">
        <v>245</v>
      </c>
    </row>
    <row r="72" spans="1:12" ht="39" customHeight="1">
      <c r="A72" s="193" t="s">
        <v>104</v>
      </c>
      <c r="B72" s="175" t="s">
        <v>105</v>
      </c>
      <c r="C72" s="184">
        <f>SUM(C66:C71)*C25</f>
        <v>6.6527032724505338E-3</v>
      </c>
      <c r="D72" s="183"/>
      <c r="E72" s="221"/>
      <c r="H72" s="234"/>
    </row>
    <row r="73" spans="1:12">
      <c r="A73" s="180"/>
      <c r="B73" s="181" t="s">
        <v>246</v>
      </c>
      <c r="C73" s="186"/>
      <c r="D73" s="226"/>
      <c r="E73" s="226"/>
      <c r="H73" s="234"/>
    </row>
    <row r="74" spans="1:12">
      <c r="A74" s="235"/>
      <c r="B74" s="236"/>
      <c r="C74" s="236"/>
      <c r="D74" s="236"/>
      <c r="E74" s="236"/>
    </row>
    <row r="75" spans="1:12" ht="66.75" customHeight="1">
      <c r="A75" s="236"/>
      <c r="B75" s="278" t="s">
        <v>247</v>
      </c>
      <c r="C75" s="278"/>
      <c r="D75" s="278"/>
      <c r="E75" s="278"/>
      <c r="G75" s="237"/>
      <c r="H75" s="214"/>
      <c r="L75" s="238"/>
    </row>
    <row r="76" spans="1:12" ht="76.5" customHeight="1">
      <c r="A76" s="164"/>
      <c r="B76" s="278" t="s">
        <v>248</v>
      </c>
      <c r="C76" s="278"/>
      <c r="D76" s="278"/>
      <c r="E76" s="278"/>
      <c r="H76" s="214"/>
    </row>
    <row r="77" spans="1:12" ht="48.6" customHeight="1">
      <c r="A77" s="164"/>
      <c r="B77" s="278" t="s">
        <v>249</v>
      </c>
      <c r="C77" s="278"/>
      <c r="D77" s="278"/>
      <c r="E77" s="278"/>
      <c r="G77" s="214"/>
      <c r="I77" s="239"/>
    </row>
    <row r="78" spans="1:12" ht="83.45" customHeight="1">
      <c r="A78" s="164"/>
      <c r="B78" s="278" t="s">
        <v>250</v>
      </c>
      <c r="C78" s="278"/>
      <c r="D78" s="278"/>
      <c r="E78" s="278"/>
      <c r="K78" s="240"/>
    </row>
    <row r="79" spans="1:12" ht="68.25" customHeight="1">
      <c r="A79" s="164"/>
      <c r="B79" s="278" t="s">
        <v>251</v>
      </c>
      <c r="C79" s="278"/>
      <c r="D79" s="278"/>
      <c r="E79" s="278"/>
    </row>
    <row r="80" spans="1:12" ht="90" customHeight="1">
      <c r="B80" s="278" t="s">
        <v>252</v>
      </c>
      <c r="C80" s="278"/>
      <c r="D80" s="278"/>
      <c r="E80" s="278"/>
      <c r="L80" s="238"/>
    </row>
    <row r="81" spans="1:12">
      <c r="A81" s="164"/>
      <c r="B81" s="166"/>
      <c r="C81" s="164"/>
      <c r="D81" s="164"/>
      <c r="E81" s="164"/>
    </row>
    <row r="82" spans="1:12">
      <c r="A82" s="164"/>
      <c r="B82" s="166"/>
      <c r="C82" s="164"/>
      <c r="D82" s="164"/>
      <c r="E82" s="164"/>
      <c r="G82" s="219"/>
    </row>
    <row r="83" spans="1:12">
      <c r="A83" s="241"/>
      <c r="B83" s="163" t="s">
        <v>107</v>
      </c>
      <c r="C83" s="231"/>
      <c r="D83" s="231"/>
      <c r="E83" s="231"/>
      <c r="H83" s="242"/>
    </row>
    <row r="84" spans="1:12" ht="16.149999999999999" customHeight="1">
      <c r="A84" s="189"/>
      <c r="B84" s="167" t="s">
        <v>160</v>
      </c>
      <c r="C84" s="165" t="s">
        <v>29</v>
      </c>
      <c r="D84" s="209" t="s">
        <v>161</v>
      </c>
      <c r="E84" s="209" t="s">
        <v>162</v>
      </c>
    </row>
    <row r="85" spans="1:12">
      <c r="A85" s="193" t="s">
        <v>3</v>
      </c>
      <c r="B85" s="175" t="s">
        <v>108</v>
      </c>
      <c r="C85" s="184" t="s">
        <v>173</v>
      </c>
      <c r="D85" s="185"/>
      <c r="E85" s="183"/>
      <c r="L85" s="238"/>
    </row>
    <row r="86" spans="1:12">
      <c r="A86" s="193" t="s">
        <v>5</v>
      </c>
      <c r="B86" s="175" t="s">
        <v>109</v>
      </c>
      <c r="C86" s="184" t="s">
        <v>173</v>
      </c>
      <c r="D86" s="185"/>
      <c r="E86" s="183"/>
    </row>
    <row r="87" spans="1:12">
      <c r="A87" s="180"/>
      <c r="B87" s="181" t="s">
        <v>253</v>
      </c>
      <c r="C87" s="186" t="s">
        <v>173</v>
      </c>
      <c r="D87" s="226"/>
      <c r="E87" s="226"/>
    </row>
    <row r="88" spans="1:12">
      <c r="B88" s="163"/>
      <c r="D88" s="164"/>
      <c r="E88" s="164"/>
    </row>
    <row r="89" spans="1:12">
      <c r="B89" s="163"/>
      <c r="F89" s="192"/>
      <c r="G89" s="192"/>
      <c r="H89" s="192"/>
      <c r="I89" s="192"/>
    </row>
    <row r="90" spans="1:12">
      <c r="B90" s="163" t="s">
        <v>254</v>
      </c>
      <c r="F90" s="195"/>
      <c r="G90" s="195"/>
      <c r="H90" s="195"/>
      <c r="I90" s="196"/>
      <c r="L90" s="238"/>
    </row>
    <row r="91" spans="1:12" ht="15.75" customHeight="1">
      <c r="A91" s="243"/>
      <c r="B91" s="244" t="s">
        <v>160</v>
      </c>
      <c r="C91" s="287" t="s">
        <v>171</v>
      </c>
      <c r="D91" s="287"/>
      <c r="E91" s="172" t="s">
        <v>162</v>
      </c>
      <c r="F91" s="196"/>
      <c r="G91" s="196"/>
      <c r="H91" s="196"/>
      <c r="I91" s="196"/>
      <c r="J91" s="219"/>
      <c r="K91" s="245"/>
    </row>
    <row r="92" spans="1:12" ht="39.75" customHeight="1">
      <c r="A92" s="288" t="s">
        <v>3</v>
      </c>
      <c r="B92" s="289" t="s">
        <v>255</v>
      </c>
      <c r="C92" s="246"/>
      <c r="D92" s="247"/>
      <c r="E92" s="290"/>
      <c r="F92" s="196"/>
      <c r="G92" s="196"/>
      <c r="H92" s="196"/>
      <c r="I92" s="196"/>
    </row>
    <row r="93" spans="1:12" s="164" customFormat="1" ht="56.25" customHeight="1">
      <c r="A93" s="288"/>
      <c r="B93" s="289"/>
      <c r="C93" s="248">
        <v>0</v>
      </c>
      <c r="D93" s="247" t="s">
        <v>25</v>
      </c>
      <c r="E93" s="290"/>
      <c r="F93" s="196"/>
      <c r="G93" s="196"/>
      <c r="H93" s="196"/>
      <c r="I93" s="196"/>
    </row>
    <row r="94" spans="1:12" ht="87.75" customHeight="1">
      <c r="A94" s="210" t="s">
        <v>5</v>
      </c>
      <c r="B94" s="249" t="s">
        <v>120</v>
      </c>
      <c r="C94" s="250">
        <v>0</v>
      </c>
      <c r="D94" s="251"/>
      <c r="E94" s="252"/>
      <c r="F94" s="291" t="s">
        <v>256</v>
      </c>
      <c r="G94" s="291"/>
      <c r="H94" s="291"/>
      <c r="I94" s="253">
        <v>0</v>
      </c>
      <c r="J94" s="164"/>
      <c r="K94" s="254"/>
    </row>
    <row r="95" spans="1:12">
      <c r="A95" s="215"/>
      <c r="B95" s="255"/>
      <c r="C95" s="256" t="s">
        <v>257</v>
      </c>
      <c r="D95" s="256"/>
      <c r="E95" s="257"/>
      <c r="L95" s="238"/>
    </row>
    <row r="96" spans="1:12">
      <c r="A96" s="164"/>
      <c r="B96" s="258"/>
      <c r="C96" s="227"/>
    </row>
    <row r="97" spans="2:12">
      <c r="B97" s="259" t="s">
        <v>258</v>
      </c>
      <c r="C97" s="260"/>
      <c r="D97" s="260"/>
      <c r="E97" s="261"/>
    </row>
    <row r="98" spans="2:12">
      <c r="B98" s="262"/>
      <c r="C98" s="260"/>
      <c r="D98" s="260"/>
      <c r="E98" s="261"/>
    </row>
    <row r="99" spans="2:12">
      <c r="B99" s="263" t="s">
        <v>259</v>
      </c>
      <c r="C99" s="164"/>
      <c r="D99" s="164"/>
      <c r="E99" s="264"/>
    </row>
    <row r="100" spans="2:12">
      <c r="B100" s="265"/>
      <c r="C100" s="164"/>
      <c r="D100" s="164"/>
      <c r="E100" s="264"/>
      <c r="L100" s="238"/>
    </row>
    <row r="101" spans="2:12" ht="76.150000000000006" customHeight="1">
      <c r="B101" s="292" t="s">
        <v>260</v>
      </c>
      <c r="C101" s="292"/>
      <c r="D101" s="292"/>
      <c r="E101" s="292"/>
    </row>
    <row r="102" spans="2:12">
      <c r="B102" s="263"/>
      <c r="C102" s="164"/>
      <c r="D102" s="164"/>
      <c r="E102" s="264"/>
    </row>
    <row r="103" spans="2:12">
      <c r="B103" s="263" t="s">
        <v>261</v>
      </c>
      <c r="C103" s="164"/>
      <c r="D103" s="164"/>
      <c r="E103" s="264"/>
    </row>
    <row r="104" spans="2:12" ht="41.25" customHeight="1">
      <c r="B104" s="292" t="s">
        <v>262</v>
      </c>
      <c r="C104" s="292"/>
      <c r="D104" s="292"/>
      <c r="E104" s="292"/>
    </row>
    <row r="105" spans="2:12" ht="28.9" customHeight="1">
      <c r="B105" s="292" t="s">
        <v>263</v>
      </c>
      <c r="C105" s="292"/>
      <c r="D105" s="292"/>
      <c r="E105" s="292"/>
      <c r="L105" s="238"/>
    </row>
    <row r="106" spans="2:12" ht="25.5" customHeight="1">
      <c r="B106" s="209" t="s">
        <v>160</v>
      </c>
      <c r="C106" s="167" t="s">
        <v>29</v>
      </c>
      <c r="D106" s="168"/>
      <c r="E106" s="266"/>
    </row>
    <row r="107" spans="2:12" ht="40.5" customHeight="1">
      <c r="B107" s="267" t="s">
        <v>264</v>
      </c>
      <c r="C107" s="184">
        <v>0.03</v>
      </c>
      <c r="D107" s="168"/>
      <c r="E107" s="266"/>
    </row>
    <row r="108" spans="2:12" ht="25.5" customHeight="1">
      <c r="B108" s="267" t="s">
        <v>265</v>
      </c>
      <c r="C108" s="184">
        <v>6.7900000000000002E-2</v>
      </c>
      <c r="D108" s="168"/>
      <c r="E108" s="266"/>
    </row>
    <row r="109" spans="2:12" ht="25.5" customHeight="1">
      <c r="B109" s="267" t="s">
        <v>266</v>
      </c>
      <c r="C109" s="184"/>
      <c r="D109" s="168"/>
      <c r="E109" s="266"/>
    </row>
    <row r="110" spans="2:12" ht="39" customHeight="1">
      <c r="B110" s="267" t="s">
        <v>129</v>
      </c>
      <c r="C110" s="233">
        <f>1.65%+7.6%</f>
        <v>9.2499999999999999E-2</v>
      </c>
      <c r="D110" s="168"/>
      <c r="E110" s="266"/>
      <c r="L110" s="238"/>
    </row>
    <row r="111" spans="2:12" ht="25.5" customHeight="1">
      <c r="B111" s="267" t="s">
        <v>267</v>
      </c>
      <c r="C111" s="184"/>
      <c r="D111" s="168"/>
      <c r="E111" s="266"/>
    </row>
    <row r="112" spans="2:12" ht="25.5" customHeight="1">
      <c r="B112" s="267" t="s">
        <v>131</v>
      </c>
      <c r="C112" s="184">
        <v>0.05</v>
      </c>
      <c r="D112" s="168"/>
      <c r="E112" s="266"/>
    </row>
    <row r="113" spans="2:12">
      <c r="B113" s="268"/>
      <c r="C113" s="164"/>
      <c r="D113" s="164"/>
      <c r="E113" s="264"/>
    </row>
    <row r="114" spans="2:12">
      <c r="B114" s="268" t="s">
        <v>268</v>
      </c>
      <c r="C114" s="164"/>
      <c r="D114" s="164"/>
      <c r="E114" s="264"/>
    </row>
    <row r="115" spans="2:12" ht="28.5">
      <c r="B115" s="269" t="s">
        <v>269</v>
      </c>
      <c r="C115" s="270"/>
      <c r="D115" s="270"/>
      <c r="E115" s="271"/>
      <c r="L115" s="238"/>
    </row>
    <row r="120" spans="2:12">
      <c r="L120" s="238"/>
    </row>
    <row r="124" spans="2:12">
      <c r="B124" s="272"/>
    </row>
    <row r="125" spans="2:12">
      <c r="B125" s="272"/>
      <c r="L125" s="238"/>
    </row>
    <row r="126" spans="2:12">
      <c r="B126" s="272"/>
    </row>
    <row r="127" spans="2:12">
      <c r="B127" s="272"/>
    </row>
    <row r="128" spans="2:12">
      <c r="B128" s="272"/>
    </row>
    <row r="129" spans="2:12">
      <c r="B129" s="272"/>
      <c r="C129" s="273"/>
    </row>
    <row r="130" spans="2:12">
      <c r="B130" s="272"/>
      <c r="C130" s="273"/>
      <c r="L130" s="238"/>
    </row>
    <row r="131" spans="2:12">
      <c r="B131" s="272"/>
      <c r="C131" s="273"/>
    </row>
    <row r="132" spans="2:12">
      <c r="B132" s="272"/>
    </row>
    <row r="133" spans="2:12">
      <c r="B133" s="272"/>
    </row>
    <row r="134" spans="2:12">
      <c r="B134" s="272"/>
    </row>
    <row r="135" spans="2:12">
      <c r="B135" s="272"/>
    </row>
    <row r="136" spans="2:12">
      <c r="B136" s="272"/>
    </row>
  </sheetData>
  <mergeCells count="33">
    <mergeCell ref="B101:E101"/>
    <mergeCell ref="B104:E104"/>
    <mergeCell ref="B105:E105"/>
    <mergeCell ref="C91:D91"/>
    <mergeCell ref="A92:A93"/>
    <mergeCell ref="B92:B93"/>
    <mergeCell ref="E92:E93"/>
    <mergeCell ref="F94:H94"/>
    <mergeCell ref="B76:E76"/>
    <mergeCell ref="B77:E77"/>
    <mergeCell ref="B78:E78"/>
    <mergeCell ref="B79:E79"/>
    <mergeCell ref="B80:E80"/>
    <mergeCell ref="B46:E46"/>
    <mergeCell ref="B47:E47"/>
    <mergeCell ref="B56:E56"/>
    <mergeCell ref="B57:E57"/>
    <mergeCell ref="B75:E75"/>
    <mergeCell ref="C32:D32"/>
    <mergeCell ref="C33:D33"/>
    <mergeCell ref="C34:D34"/>
    <mergeCell ref="C35:D35"/>
    <mergeCell ref="C36:D36"/>
    <mergeCell ref="F28:N28"/>
    <mergeCell ref="F29:I29"/>
    <mergeCell ref="K29:N29"/>
    <mergeCell ref="C30:D30"/>
    <mergeCell ref="C31:D31"/>
    <mergeCell ref="A2:C2"/>
    <mergeCell ref="A3:B3"/>
    <mergeCell ref="A4:B4"/>
    <mergeCell ref="B26:E26"/>
    <mergeCell ref="B27:E27"/>
  </mergeCells>
  <hyperlinks>
    <hyperlink ref="E53" r:id="rId1" xr:uid="{00000000-0004-0000-0100-000000000000}"/>
    <hyperlink ref="B101" r:id="rId2" display="Para fins de estimativa do Tribunal de Justiça do Piauí,  o Lucro é definido em 6,79%, enquanto os custos indiretos são definidos em 3%. Sendo os percentuais estimados conforme página 21 do Caderno de Estudo sobre a Composição dos Custos dos Valores Limites dos Serviços de Serviços de Limpeza e Conservação do Piauí.  Disponível no Link https://www.gov.br/compras/pt-br/agente-publico/cadernos-tecnicos-e-valores-limites/cts-2019/ct_lim_pi_2019.pdf" xr:uid="{00000000-0004-0000-0100-000001000000}"/>
  </hyperlinks>
  <pageMargins left="0.51180555555555596" right="0.51180555555555596" top="0.78749999999999998" bottom="0.78749999999999998" header="0.511811023622047" footer="0.511811023622047"/>
  <pageSetup paperSize="9" orientation="portrait" horizontalDpi="300" verticalDpi="300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AUX. INFORMATICA </vt:lpstr>
      <vt:lpstr>Memoria de Cálculo</vt:lpstr>
      <vt:lpstr>'AUX. INFORMATICA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dc:description/>
  <cp:lastModifiedBy>user</cp:lastModifiedBy>
  <cp:revision>3</cp:revision>
  <cp:lastPrinted>2022-03-23T20:47:59Z</cp:lastPrinted>
  <dcterms:created xsi:type="dcterms:W3CDTF">2010-12-08T17:56:29Z</dcterms:created>
  <dcterms:modified xsi:type="dcterms:W3CDTF">2022-10-05T13:19:48Z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