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2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xl/drawings/vmlDrawing1.vml" ContentType="application/vnd.openxmlformats-officedocument.vmlDrawing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ERVENTE" sheetId="1" state="visible" r:id="rId2"/>
    <sheet name="Memoria de Cálculo" sheetId="2" state="visible" r:id="rId3"/>
  </sheets>
  <definedNames>
    <definedName function="false" hidden="false" localSheetId="0" name="_xlnm.Print_Area" vbProcedure="false">SERVENTE!$A$1:$F$157</definedName>
    <definedName function="false" hidden="false" localSheetId="0" name="_xlnm.Print_Area" vbProcedure="false">SERVENTE!$A$1:$F$157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/>
  </authors>
  <commentList>
    <comment ref="F96" authorId="0">
      <text>
        <r>
          <rPr>
            <b val="true"/>
            <sz val="12"/>
            <color rgb="FF000000"/>
            <rFont val="Tahoma"/>
            <family val="2"/>
            <charset val="1"/>
          </rPr>
          <t xml:space="preserve">Contrato de Aux Gestão</t>
        </r>
      </text>
    </comment>
    <comment ref="G96" authorId="0">
      <text>
        <r>
          <rPr>
            <b val="true"/>
            <sz val="12"/>
            <color rgb="FF000000"/>
            <rFont val="Tahoma"/>
            <family val="2"/>
            <charset val="1"/>
          </rPr>
          <t xml:space="preserve">Contrato de Motoboy</t>
        </r>
      </text>
    </comment>
    <comment ref="H96" authorId="0">
      <text>
        <r>
          <rPr>
            <b val="true"/>
            <sz val="12"/>
            <color rgb="FF000000"/>
            <rFont val="Tahoma"/>
            <family val="2"/>
            <charset val="1"/>
          </rPr>
          <t xml:space="preserve">Contrato de Motoristas - Adesão</t>
        </r>
      </text>
    </comment>
  </commentList>
</comments>
</file>

<file path=xl/sharedStrings.xml><?xml version="1.0" encoding="utf-8"?>
<sst xmlns="http://schemas.openxmlformats.org/spreadsheetml/2006/main" count="449" uniqueCount="274">
  <si>
    <t xml:space="preserve">Categoria profissional: </t>
  </si>
  <si>
    <t xml:space="preserve">Servente - 30H</t>
  </si>
  <si>
    <t xml:space="preserve">Discriminação dos Serviços</t>
  </si>
  <si>
    <t xml:space="preserve">A</t>
  </si>
  <si>
    <t xml:space="preserve">Data de apresentação da proposta</t>
  </si>
  <si>
    <t xml:space="preserve">B</t>
  </si>
  <si>
    <t xml:space="preserve">Município</t>
  </si>
  <si>
    <t xml:space="preserve">TERESINA</t>
  </si>
  <si>
    <t xml:space="preserve">C</t>
  </si>
  <si>
    <t xml:space="preserve">Ano do Acordo, Convenção ou Dissídio Coletivo</t>
  </si>
  <si>
    <t xml:space="preserve">PI000146/2019</t>
  </si>
  <si>
    <t xml:space="preserve">D</t>
  </si>
  <si>
    <t xml:space="preserve">Nº de meses de execução contratual</t>
  </si>
  <si>
    <t xml:space="preserve">Identificação do Serviço</t>
  </si>
  <si>
    <t xml:space="preserve">Tipo de Serviço: Limpeza</t>
  </si>
  <si>
    <t xml:space="preserve">Unidade de Medida: Área (m2)</t>
  </si>
  <si>
    <t xml:space="preserve">Quantidade total a contratar (em função da unidade de medida): </t>
  </si>
  <si>
    <t xml:space="preserve">Dados para composição dos custos referentes à mão-de-obra</t>
  </si>
  <si>
    <t xml:space="preserve">Tipo de serviço (mesmo serviço com características distintas)</t>
  </si>
  <si>
    <t xml:space="preserve">Limpeza</t>
  </si>
  <si>
    <t xml:space="preserve">Classificação Brasileira de Ocupações (CBO)</t>
  </si>
  <si>
    <t xml:space="preserve">Salário Nominativo da Categoria Profissional</t>
  </si>
  <si>
    <t xml:space="preserve">Categoria profissional (vinculada à execução contratual)</t>
  </si>
  <si>
    <t xml:space="preserve">Servente</t>
  </si>
  <si>
    <t xml:space="preserve">Data base da categoria (dia/mês/ano)</t>
  </si>
  <si>
    <t xml:space="preserve">MÓDULO 1 - COMPOSIÇÃO DA REMUNERAÇÃO</t>
  </si>
  <si>
    <t xml:space="preserve">COMPOSIÇÃO DA REMUNERAÇÃO</t>
  </si>
  <si>
    <t xml:space="preserve">%</t>
  </si>
  <si>
    <t xml:space="preserve">VALOR (R$)</t>
  </si>
  <si>
    <t xml:space="preserve">Salário Base</t>
  </si>
  <si>
    <t xml:space="preserve">Adicional Periculosidade </t>
  </si>
  <si>
    <t xml:space="preserve">Adicional Insalubridade</t>
  </si>
  <si>
    <t xml:space="preserve">Adicional Noturno</t>
  </si>
  <si>
    <t xml:space="preserve">E</t>
  </si>
  <si>
    <t xml:space="preserve">Adicional de Hora Noturna Reduzida</t>
  </si>
  <si>
    <t xml:space="preserve">F</t>
  </si>
  <si>
    <t xml:space="preserve">Adicional de Hora Extra no Feriado Trabalhado</t>
  </si>
  <si>
    <t xml:space="preserve">G</t>
  </si>
  <si>
    <t xml:space="preserve">Outros (especificar)</t>
  </si>
  <si>
    <t xml:space="preserve">TOTAL DO MÓDULO 1</t>
  </si>
  <si>
    <t xml:space="preserve">MÓDULO 2 – ENCARGOS E BENEFÍCIOS ANUAIS, MENSAIS E DIÁRIOS</t>
  </si>
  <si>
    <t xml:space="preserve">Submódulo 2.1 - 13º Salário, Férias e Adicional de Férias</t>
  </si>
  <si>
    <r>
      <rPr>
        <sz val="11"/>
        <rFont val="Arial"/>
        <family val="2"/>
        <charset val="1"/>
      </rPr>
      <t xml:space="preserve">13 (Décimo-terceiro) salário</t>
    </r>
    <r>
      <rPr>
        <sz val="11"/>
        <color rgb="FFFF0000"/>
        <rFont val="Arial"/>
        <family val="2"/>
        <charset val="1"/>
      </rPr>
      <t xml:space="preserve"> </t>
    </r>
  </si>
  <si>
    <t xml:space="preserve">Férias e Adicional de Férias</t>
  </si>
  <si>
    <t xml:space="preserve">TOTAL A + B</t>
  </si>
  <si>
    <t xml:space="preserve">Incidência do Submódulo 2.2 sobre o TOTAL A + B (Revogado)</t>
  </si>
  <si>
    <t xml:space="preserve">TOTAL SUBMÓDULO 2.1</t>
  </si>
  <si>
    <t xml:space="preserve">Submódulo 2.2 - GPS, FGTS e Outras Contribuições</t>
  </si>
  <si>
    <t xml:space="preserve">INSS </t>
  </si>
  <si>
    <t xml:space="preserve">Salário Educação </t>
  </si>
  <si>
    <t xml:space="preserve">SAT (Seguro Acidente de Trabalho)</t>
  </si>
  <si>
    <t xml:space="preserve">SESC ou SESI</t>
  </si>
  <si>
    <t xml:space="preserve">SENAI - SENAC </t>
  </si>
  <si>
    <t xml:space="preserve">SEBRAE </t>
  </si>
  <si>
    <t xml:space="preserve">INCRA </t>
  </si>
  <si>
    <t xml:space="preserve">H</t>
  </si>
  <si>
    <t xml:space="preserve">FGTS </t>
  </si>
  <si>
    <t xml:space="preserve">TOTAL SUBMÓDULO 2.2</t>
  </si>
  <si>
    <t xml:space="preserve">Submódulo 2.3 - Benefícios Mensais e Diários</t>
  </si>
  <si>
    <t xml:space="preserve">Transporte - Valor da Passagem R$3,85</t>
  </si>
  <si>
    <t xml:space="preserve">Auxílio alimentação (vales, cesta básica, entre outros)</t>
  </si>
  <si>
    <t xml:space="preserve">Assistência médica e familiar (40% a cargo do empregador conforme convenção coletiva 2019/2019 registrada no MTE sob o nº PI000146/2019)</t>
  </si>
  <si>
    <t xml:space="preserve">Auxílio creche</t>
  </si>
  <si>
    <t xml:space="preserve">Seguro de vida, invalidez e funeral</t>
  </si>
  <si>
    <t xml:space="preserve">TOTAL SUBMÓDULO 2.3</t>
  </si>
  <si>
    <t xml:space="preserve">QUADRO-RESUMO DO MÓDULO 2 - ENCARGOS, BENEFÍCIOS ANUAIS, MENSAIS E DIÁRIOS</t>
  </si>
  <si>
    <t xml:space="preserve">Módulo 2 - Encargos, Benefícios Anuais, Mensais e Diários</t>
  </si>
  <si>
    <t xml:space="preserve">2.1</t>
  </si>
  <si>
    <t xml:space="preserve">13º Salário, Férias e Adicional de Férias</t>
  </si>
  <si>
    <t xml:space="preserve">2.2</t>
  </si>
  <si>
    <t xml:space="preserve">GPS, FGTS e Outras Contribuições</t>
  </si>
  <si>
    <t xml:space="preserve">2.3</t>
  </si>
  <si>
    <t xml:space="preserve">Benefícios Mensais e Diários</t>
  </si>
  <si>
    <t xml:space="preserve">TOTAL DO MÓDULO 2</t>
  </si>
  <si>
    <t xml:space="preserve">MÓDULO 3 – PROVISÃO PARA RESCISÃO</t>
  </si>
  <si>
    <t xml:space="preserve">Submódulo 3.1 - Aviso Prévio Indenizado.</t>
  </si>
  <si>
    <t xml:space="preserve">Aviso Prévio Indenizado</t>
  </si>
  <si>
    <t xml:space="preserve">Incidência do FGTS sobre Aviso Prévio Indenizado</t>
  </si>
  <si>
    <t xml:space="preserve">Multa do FGTS e Contribuição Social sobre o Aviso Prévio Indenizado</t>
  </si>
  <si>
    <t xml:space="preserve">TOTAL SUBMÓDULO 3.1</t>
  </si>
  <si>
    <t xml:space="preserve">Submódulo 3.2 - Aviso Prévio Trabalhado</t>
  </si>
  <si>
    <t xml:space="preserve">Aviso Prévio Trabalhado </t>
  </si>
  <si>
    <t xml:space="preserve">Incidência dos encargos do submódulo 2.2 sobre Aviso Prévio Trabalhado</t>
  </si>
  <si>
    <t xml:space="preserve">Multa do FGTS e Contribuição Social sobre o Aviso Prévio Trabalhado. </t>
  </si>
  <si>
    <t xml:space="preserve">TOTAL SUBMÓDULO 3.2</t>
  </si>
  <si>
    <t xml:space="preserve">QUADRO-RESUMO DO MÓDULO 3 -  PROVISÃO PARA RESCISÃO</t>
  </si>
  <si>
    <t xml:space="preserve">MÓDULO 3 -  PROVISÃO PARA RESCISÃO</t>
  </si>
  <si>
    <t xml:space="preserve">3.1</t>
  </si>
  <si>
    <t xml:space="preserve">Aviso Prévio Indenizado.</t>
  </si>
  <si>
    <t xml:space="preserve">3.2</t>
  </si>
  <si>
    <t xml:space="preserve">Aviso Prévio Trabalhado</t>
  </si>
  <si>
    <t xml:space="preserve">TOTAL DO MÓDULO 3</t>
  </si>
  <si>
    <t xml:space="preserve">MÓDULO 4 – CUSTO DE REPOSIÇÃO DO PROFISSIONAL AUSENTE</t>
  </si>
  <si>
    <t xml:space="preserve">Submódulo 4.1 - Ausências Legais</t>
  </si>
  <si>
    <t xml:space="preserve">Substituto nas Férias </t>
  </si>
  <si>
    <t xml:space="preserve">Incidência do Submódulo 2.2 sobre Férias</t>
  </si>
  <si>
    <t xml:space="preserve">Ausência Justificada</t>
  </si>
  <si>
    <t xml:space="preserve">Ausências Legais</t>
  </si>
  <si>
    <t xml:space="preserve">Ausência por Doença</t>
  </si>
  <si>
    <t xml:space="preserve">Licença Paternidade</t>
  </si>
  <si>
    <t xml:space="preserve">Ausência por Acidente de Trabalho</t>
  </si>
  <si>
    <t xml:space="preserve">Afastamento Maternidade</t>
  </si>
  <si>
    <t xml:space="preserve">I</t>
  </si>
  <si>
    <t xml:space="preserve">Incidência do Submódulo 2.2 sobre os itens C, D, E, F, G, H do submódulo 4.1</t>
  </si>
  <si>
    <t xml:space="preserve">TOTAL SUBMÓDULO 4.1</t>
  </si>
  <si>
    <t xml:space="preserve">Submódulo 4.2 - Intrajornada</t>
  </si>
  <si>
    <t xml:space="preserve">Intervalo para Repouso ou Alimentação</t>
  </si>
  <si>
    <t xml:space="preserve">Incidência do Submódulo 2.2 sobre Intervalo para Repouso ou Alimentação</t>
  </si>
  <si>
    <t xml:space="preserve">TOTAL SUBMÓDULO 4.2</t>
  </si>
  <si>
    <t xml:space="preserve">QUADRO-RESUMO DO MÓDULO 4 - CUSTO DE REPOSIÇÃO DO PROFISSIONAL AUSENTE</t>
  </si>
  <si>
    <t xml:space="preserve">Módulo 4 - Custo de Reposição do Profissional Ausente</t>
  </si>
  <si>
    <t xml:space="preserve">4.1</t>
  </si>
  <si>
    <t xml:space="preserve">4.2</t>
  </si>
  <si>
    <t xml:space="preserve">Intrajornada</t>
  </si>
  <si>
    <t xml:space="preserve">TOTAL DO MÓDULO 4</t>
  </si>
  <si>
    <t xml:space="preserve">MÓDULO 5 – INSUMOS DIVERSOS</t>
  </si>
  <si>
    <t xml:space="preserve">INSUMOS DIVERSOS</t>
  </si>
  <si>
    <t xml:space="preserve">Uniformes </t>
  </si>
  <si>
    <t xml:space="preserve">Materiais</t>
  </si>
  <si>
    <t xml:space="preserve">Equipamentos</t>
  </si>
  <si>
    <t xml:space="preserve">TOTAL DO MÓDULO 5</t>
  </si>
  <si>
    <t xml:space="preserve">SOMA DOS MÓDULOS 1, 2, 3, 4, 5</t>
  </si>
  <si>
    <t xml:space="preserve">MÓDULO 6 – CUSTOS INDIRETOS, TRIBUTOS E LUCRO</t>
  </si>
  <si>
    <t xml:space="preserve">CUSTOS INDIRETOS, TRIBUTOS E LUCRO</t>
  </si>
  <si>
    <t xml:space="preserve">Custos Indiretos</t>
  </si>
  <si>
    <t xml:space="preserve">Lucro</t>
  </si>
  <si>
    <t xml:space="preserve">TRIBUTOS</t>
  </si>
  <si>
    <t xml:space="preserve">C.1. Tributos federais : PIS=1,65% e COFINS=7,60%</t>
  </si>
  <si>
    <t xml:space="preserve">C.2  Tributos estaduais (especificar)</t>
  </si>
  <si>
    <t xml:space="preserve">C.3  Tributos municipais  : ISSQN=5,00%</t>
  </si>
  <si>
    <t xml:space="preserve">TOTAL DO MÓDULO 6</t>
  </si>
  <si>
    <t xml:space="preserve">QUADRO RESUMO DO CUSTO POR EMPREGADO</t>
  </si>
  <si>
    <t xml:space="preserve">Mão-de-Obra vinculada à execução contratual (valor por empregado)</t>
  </si>
  <si>
    <t xml:space="preserve">Subtotal (A + B + C + D + E)</t>
  </si>
  <si>
    <t xml:space="preserve">PREÇO TOTAL POR EMPREGADO</t>
  </si>
  <si>
    <t xml:space="preserve">Quadro Resumo - VALOR MENSAL DOS SERVIÇOS</t>
  </si>
  <si>
    <t xml:space="preserve"> Tipo de serviço (A)</t>
  </si>
  <si>
    <t xml:space="preserve">Valor proposto por empregado
(B)</t>
  </si>
  <si>
    <t xml:space="preserve">Qtde. de empregados por posto
 (C)</t>
  </si>
  <si>
    <t xml:space="preserve">Valor proposto por posto
 (D) = (B x C)</t>
  </si>
  <si>
    <t xml:space="preserve">Qtde. de postos
(E)</t>
  </si>
  <si>
    <t xml:space="preserve">Valor total do serviço
(F) = (D x E)</t>
  </si>
  <si>
    <t xml:space="preserve">LIMPEZA</t>
  </si>
  <si>
    <t xml:space="preserve">VALOR MENSAL DOS SERVIÇOS</t>
  </si>
  <si>
    <t xml:space="preserve">QUADRO DEMONSTRATIVO - VALOR GLOBAL DA PROPOSTA</t>
  </si>
  <si>
    <t xml:space="preserve">VALOR GLOBAL DA PROPOSTA</t>
  </si>
  <si>
    <t xml:space="preserve">Descrição</t>
  </si>
  <si>
    <t xml:space="preserve">Valor (R$)</t>
  </si>
  <si>
    <t xml:space="preserve">Valor proposto por unidade de medida</t>
  </si>
  <si>
    <t xml:space="preserve">Valor mensal do serviço</t>
  </si>
  <si>
    <t xml:space="preserve">Valor Global da Proposta (Valor mensal do serviço multiplicado por 12 meses do contrato)</t>
  </si>
  <si>
    <t xml:space="preserve">FATOR K</t>
  </si>
  <si>
    <t xml:space="preserve">Módulo 1: Composição da remuneração Salário Base</t>
  </si>
  <si>
    <t xml:space="preserve">SERVENTE</t>
  </si>
  <si>
    <t xml:space="preserve">Estado</t>
  </si>
  <si>
    <t xml:space="preserve">Piauí</t>
  </si>
  <si>
    <t xml:space="preserve">ENCARREGADO</t>
  </si>
  <si>
    <t xml:space="preserve">Módulo 2: Benefícios mensais e diários</t>
  </si>
  <si>
    <t xml:space="preserve">Submódulo 2.1 : 13º (décimo terceiro) salário e adicional de férias</t>
  </si>
  <si>
    <t xml:space="preserve">Item</t>
  </si>
  <si>
    <t xml:space="preserve">Memória de cálculo</t>
  </si>
  <si>
    <t xml:space="preserve">Fundamento</t>
  </si>
  <si>
    <t xml:space="preserve">13º Salário</t>
  </si>
  <si>
    <t xml:space="preserve">[(1/12)x100]</t>
  </si>
  <si>
    <t xml:space="preserve"> Art. 7º, inciso VIII da  Constituição Federal e Parágrafo único , Art. 1º Dec. 57155/65</t>
  </si>
  <si>
    <t xml:space="preserve">Adicional de Férias</t>
  </si>
  <si>
    <t xml:space="preserve">[(1/12)/3x100]</t>
  </si>
  <si>
    <t xml:space="preserve">Só provisiona o adicional - Art. 7º, inciso XVII da Constituição Federal</t>
  </si>
  <si>
    <t xml:space="preserve">Total submódulo 2.1</t>
  </si>
  <si>
    <t xml:space="preserve">Incidência do Submódulo 2.2 sobre o Total do Submódulo 2.1</t>
  </si>
  <si>
    <t xml:space="preserve">Submódulo 2.2 : Encargos Previdenciários (GPS), Fundo de Garantia por Tempo
de Serviço (FGTS) e outras contribuições.
</t>
  </si>
  <si>
    <t xml:space="preserve">Memória de Cálculo</t>
  </si>
  <si>
    <t xml:space="preserve">INSS</t>
  </si>
  <si>
    <t xml:space="preserve">-</t>
  </si>
  <si>
    <t xml:space="preserve">Art. 22, Inciso I, da Lei nº 8.212/91.</t>
  </si>
  <si>
    <t xml:space="preserve">Salário Educação</t>
  </si>
  <si>
    <t xml:space="preserve">Art. 3º, Inciso I, Decreto n.º 87.043/82.</t>
  </si>
  <si>
    <t xml:space="preserve">Riscos Ambientais do Trabalho RAT X FAP:</t>
  </si>
  <si>
    <t xml:space="preserve">Art. 3º, Lei n.º 8.036/90.</t>
  </si>
  <si>
    <t xml:space="preserve">SENAI - SENAC</t>
  </si>
  <si>
    <t xml:space="preserve">Decreto n.º 2.318/86.</t>
  </si>
  <si>
    <t xml:space="preserve">SEBRAE</t>
  </si>
  <si>
    <t xml:space="preserve">Art. 8º, Lei n.º 8.029/90 e Lei n.º 8.154/90.</t>
  </si>
  <si>
    <t xml:space="preserve">INCRA</t>
  </si>
  <si>
    <t xml:space="preserve">Lei n.º 7.787/89 e DL n.º 1.146/70.</t>
  </si>
  <si>
    <t xml:space="preserve">FGTS</t>
  </si>
  <si>
    <t xml:space="preserve">Art. 15, Lei nº 8.030/90 e Art. 7º, III, CF.</t>
  </si>
  <si>
    <t xml:space="preserve">Total dos Encargos do submódulo 2.2</t>
  </si>
  <si>
    <t xml:space="preserve">C – Riscos Ambientais do Trabalho RAT X FAP:
RAT x FAP, em que:
RAT – Varia de acordo coma atividade preponderante aplicação do código CNAE ao Anexo V do Decreto n.º 3.048/1999, de 1% a 3%)
FAP – varia de 0,5 a 2,000, mas adota-se o maior valor possível para o exercício, conforme Decreto n.º 6.957/2009.</t>
  </si>
  <si>
    <t xml:space="preserve">Observação: A licitante deve preencher o item "C" das planilhas de composição de custos e formação de preços com o valor de seu FAP, a ser comprovado no envio de sua proposta adequada ao lance vencedor, mediante apresentação da GFIP ou outro documento apto a fazê-lo.  </t>
  </si>
  <si>
    <t xml:space="preserve">PROPOSTAS DAS EMPRESAS</t>
  </si>
  <si>
    <t xml:space="preserve">Submódulo 2.3 : Encargos Sociais e trabalhistas</t>
  </si>
  <si>
    <t xml:space="preserve">Contratos TJPI</t>
  </si>
  <si>
    <t xml:space="preserve">145/2017</t>
  </si>
  <si>
    <t xml:space="preserve">64/2018</t>
  </si>
  <si>
    <t xml:space="preserve">35/2018</t>
  </si>
  <si>
    <t xml:space="preserve">MÉDIA</t>
  </si>
  <si>
    <t xml:space="preserve">Transporte</t>
  </si>
  <si>
    <t xml:space="preserve">(3,85 x 2 x 22) - (0,06 x Salário Base)</t>
  </si>
  <si>
    <t xml:space="preserve">O vale transporte foi baseado no preço da passagem, trajeto de ida e volta residência/TJPI com uma integração, do transporte coletivo da respectiva capital do estado do Piauí. E permite uma dedução do valor do vale-transporte de 6% que está de acordo com a lei nº 7.418/85 (desconto máximo de 6% do salário-base - Módulo 1 A) (Decreto Municipal de nº 18.230/2019)</t>
  </si>
  <si>
    <r>
      <rPr>
        <sz val="11"/>
        <rFont val="Times New Roman"/>
        <family val="1"/>
        <charset val="1"/>
      </rPr>
      <t xml:space="preserve">O valor do auxílio-alimentação foi laboram em regime de tempo parcial (CLT, art. 58-A), terão direito ao vale alimentação pela metade  de acordo Convenção Coletiva da Categoria 2019/2019 registrada no MTE sob o nº  </t>
    </r>
    <r>
      <rPr>
        <b val="true"/>
        <sz val="11"/>
        <rFont val="Times New Roman"/>
        <family val="1"/>
        <charset val="1"/>
      </rPr>
      <t xml:space="preserve">PI0000146/2019</t>
    </r>
  </si>
  <si>
    <t xml:space="preserve">O valor da assistência médica e hospitalar foi cotado de acordo com o valor médio de 3 propostas apresentas e registradas , ressaltando que esse valor corresponde aos 40% a cargo do empregador conforme convenção coletiva 2019/2019 registrada no MTE sob o nº  PI000146/2019.
</t>
  </si>
  <si>
    <t xml:space="preserve">O valor corresponde ao valor médio praticado no mercado conforme resgistrado nas propostas dos forncedores</t>
  </si>
  <si>
    <t xml:space="preserve">Módulo 3: Provisão para rescisão</t>
  </si>
  <si>
    <t xml:space="preserve">Submódulo 3.1 – Aviso Prévio Indenizado.</t>
  </si>
  <si>
    <r>
      <rPr>
        <b val="true"/>
        <sz val="11"/>
        <color rgb="FF000000"/>
        <rFont val="Times New Roman"/>
        <family val="1"/>
        <charset val="1"/>
      </rPr>
      <t xml:space="preserve">Aviso Prévio Indenizado</t>
    </r>
    <r>
      <rPr>
        <b val="true"/>
        <vertAlign val="superscript"/>
        <sz val="11"/>
        <color rgb="FF000000"/>
        <rFont val="Times New Roman"/>
        <family val="1"/>
        <charset val="1"/>
      </rPr>
      <t xml:space="preserve">1</t>
    </r>
  </si>
  <si>
    <t xml:space="preserve">{[10% x(1/12)]x100} = 0,833%</t>
  </si>
  <si>
    <t xml:space="preserve">Art. 7º, XXI, CF/88, 477, 487 e 491 CLT</t>
  </si>
  <si>
    <t xml:space="preserve">0,08 x {[10%x(1/12)]x100}= 0,067%</t>
  </si>
  <si>
    <t xml:space="preserve">Súmula n.º 305 do TST</t>
  </si>
  <si>
    <r>
      <rPr>
        <b val="true"/>
        <sz val="11"/>
        <color rgb="FF000000"/>
        <rFont val="Times New Roman"/>
        <family val="1"/>
        <charset val="1"/>
      </rPr>
      <t xml:space="preserve">Multa do FGTS e Contribuição Social sobre o Aviso Prévio Indenizado</t>
    </r>
    <r>
      <rPr>
        <b val="true"/>
        <vertAlign val="superscript"/>
        <sz val="11"/>
        <color rgb="FF000000"/>
        <rFont val="Times New Roman"/>
        <family val="1"/>
        <charset val="1"/>
      </rPr>
      <t xml:space="preserve">2</t>
    </r>
  </si>
  <si>
    <t xml:space="preserve">{0,08 x 0,5 x 10% x [ 1 + (1/12)+(1/12) + (1/3x1/12)+1/12 ] x 100}</t>
  </si>
  <si>
    <t xml:space="preserve">Residual da Portaria TJ/PI Nº 1.795/2016</t>
  </si>
  <si>
    <t xml:space="preserve">Total do Submódulo 3.1</t>
  </si>
  <si>
    <r>
      <rPr>
        <vertAlign val="superscript"/>
        <sz val="11"/>
        <color rgb="FF000000"/>
        <rFont val="Times New Roman"/>
        <family val="1"/>
        <charset val="1"/>
      </rPr>
      <t xml:space="preserve">1</t>
    </r>
    <r>
      <rPr>
        <sz val="11"/>
        <color rgb="FF000000"/>
        <rFont val="Times New Roman"/>
        <family val="1"/>
        <charset val="1"/>
      </rPr>
      <t xml:space="preserve">  Estimativa de que 10% (cinco por cento) dos funcionários serão demitidos sem justa causa por aviso prévio indenizado, sendo este percentual o resíduo da diferença entre o total de demissões e as demissões por aviso prévio trabalhado que é de 90%, conforme previsão na multa do FGTS presente na portaria de conta vinculada TJ/PI Nº 1.795/2016.</t>
    </r>
  </si>
  <si>
    <r>
      <rPr>
        <vertAlign val="superscript"/>
        <sz val="11"/>
        <color rgb="FF000000"/>
        <rFont val="Times New Roman"/>
        <family val="1"/>
        <charset val="1"/>
      </rPr>
      <t xml:space="preserve">2 </t>
    </r>
    <r>
      <rPr>
        <sz val="11"/>
        <color rgb="FF000000"/>
        <rFont val="Times New Roman"/>
        <family val="1"/>
        <charset val="1"/>
      </rPr>
      <t xml:space="preserve"> Cálculo leva em consideração o total dos depósitos de FGTS que seriam feitos (FGTS sobre salário + 13º apropriado 1/12 + ferias apropriada 1/12 + 1/3 de ferias apropriado 1/12 + o salário indenizado apropriado 1/12). A previsão de Multa do FGTS foi realizada sobre estimativa de que 10% dos funcionários que serão despedidos sem justa causa  por aviso prévio Indenizado, sendo este percentual resíduo do que está vinculado ao Aviso Prévio Trabalhado por força da  Portaria TJ/PI Nº 1.795/2016</t>
    </r>
  </si>
  <si>
    <t xml:space="preserve">Submódulo 3.2 – Aviso Prévio Trabalhado.</t>
  </si>
  <si>
    <r>
      <rPr>
        <b val="true"/>
        <sz val="11"/>
        <color rgb="FF000000"/>
        <rFont val="Times New Roman"/>
        <family val="1"/>
        <charset val="1"/>
      </rPr>
      <t xml:space="preserve">Aviso Prévio Trabalhado</t>
    </r>
    <r>
      <rPr>
        <b val="true"/>
        <vertAlign val="superscript"/>
        <sz val="11"/>
        <color rgb="FF000000"/>
        <rFont val="Times New Roman"/>
        <family val="1"/>
        <charset val="1"/>
      </rPr>
      <t xml:space="preserve">1</t>
    </r>
  </si>
  <si>
    <t xml:space="preserve">{[(7/30)/12]x100} = 1,944%</t>
  </si>
  <si>
    <t xml:space="preserve">Art. 7º, XXI, CF/88, 477, 487 e 491 CLT.</t>
  </si>
  <si>
    <t xml:space="preserve">{[(7/30)/12]x100}  x Total do submódulo 2.2</t>
  </si>
  <si>
    <r>
      <rPr>
        <b val="true"/>
        <sz val="11"/>
        <color rgb="FF000000"/>
        <rFont val="Times New Roman"/>
        <family val="1"/>
        <charset val="1"/>
      </rPr>
      <t xml:space="preserve">Multa do FGTS e Contribuição Social sobre o Aviso Prévio Trabalhado</t>
    </r>
    <r>
      <rPr>
        <b val="true"/>
        <vertAlign val="superscript"/>
        <sz val="11"/>
        <color rgb="FF000000"/>
        <rFont val="Times New Roman"/>
        <family val="1"/>
        <charset val="1"/>
      </rPr>
      <t xml:space="preserve">2</t>
    </r>
  </si>
  <si>
    <t xml:space="preserve">{0,08 x 0,5 x 0,9 x [1 + 1/12 + (1/12 + 1/3*1/12)] x 100}</t>
  </si>
  <si>
    <t xml:space="preserve">Portaria (Presidência) nº 2845/2019</t>
  </si>
  <si>
    <t xml:space="preserve">Total do Submódulo 3.2</t>
  </si>
  <si>
    <r>
      <rPr>
        <vertAlign val="superscript"/>
        <sz val="11"/>
        <color rgb="FF000000"/>
        <rFont val="Times New Roman"/>
        <family val="1"/>
        <charset val="1"/>
      </rPr>
      <t xml:space="preserve">1</t>
    </r>
    <r>
      <rPr>
        <sz val="11"/>
        <color rgb="FF000000"/>
        <rFont val="Times New Roman"/>
        <family val="1"/>
        <charset val="1"/>
      </rPr>
      <t xml:space="preserve"> Redução de 7 dias ou de 2h por dia. Percentual relativo a contrato de 12 (doze) meses.</t>
    </r>
  </si>
  <si>
    <r>
      <rPr>
        <vertAlign val="superscript"/>
        <sz val="11"/>
        <color rgb="FF000000"/>
        <rFont val="Times New Roman"/>
        <family val="1"/>
        <charset val="1"/>
      </rPr>
      <t xml:space="preserve">2</t>
    </r>
    <r>
      <rPr>
        <sz val="11"/>
        <color rgb="FF000000"/>
        <rFont val="Times New Roman"/>
        <family val="1"/>
        <charset val="1"/>
      </rPr>
      <t xml:space="preserve"> Multa do FGTS sobre os funcionários  despedidos sem justa por aviso prévio trabalhado , sendo o percentual vinculado e imutável por força da  Portaria TJ/PI Nº 1.795/2016</t>
    </r>
  </si>
  <si>
    <t xml:space="preserve">Módulo 4:  Custo de reposição do profissional ausente</t>
  </si>
  <si>
    <t xml:space="preserve">Substituto das Férias</t>
  </si>
  <si>
    <t xml:space="preserve">Art. 129 da CLT</t>
  </si>
  <si>
    <r>
      <rPr>
        <b val="true"/>
        <sz val="11"/>
        <color rgb="FF000000"/>
        <rFont val="Times New Roman"/>
        <family val="1"/>
        <charset val="1"/>
      </rPr>
      <t xml:space="preserve">Ausência Justificada</t>
    </r>
    <r>
      <rPr>
        <b val="true"/>
        <vertAlign val="superscript"/>
        <sz val="11"/>
        <color rgb="FF000000"/>
        <rFont val="Times New Roman"/>
        <family val="1"/>
        <charset val="1"/>
      </rPr>
      <t xml:space="preserve">1</t>
    </r>
  </si>
  <si>
    <t xml:space="preserve">{[((1 x 1 )/30)/12]x100} </t>
  </si>
  <si>
    <t xml:space="preserve">Estudo FIA 2014/15.</t>
  </si>
  <si>
    <r>
      <rPr>
        <b val="true"/>
        <sz val="11"/>
        <color rgb="FF000000"/>
        <rFont val="Times New Roman"/>
        <family val="1"/>
        <charset val="1"/>
      </rPr>
      <t xml:space="preserve">Ausências Legais</t>
    </r>
    <r>
      <rPr>
        <b val="true"/>
        <vertAlign val="superscript"/>
        <sz val="11"/>
        <color rgb="FF000000"/>
        <rFont val="Times New Roman"/>
        <family val="1"/>
        <charset val="1"/>
      </rPr>
      <t xml:space="preserve">2</t>
    </r>
  </si>
  <si>
    <t xml:space="preserve">{[((0,41876)/30)/12]x100}</t>
  </si>
  <si>
    <t xml:space="preserve">incisos I, II, IV,VIII,X, XI do art. 473 da CLT</t>
  </si>
  <si>
    <r>
      <rPr>
        <b val="true"/>
        <sz val="11"/>
        <color rgb="FF000000"/>
        <rFont val="Times New Roman"/>
        <family val="1"/>
        <charset val="1"/>
      </rPr>
      <t xml:space="preserve">Ausência por Doença</t>
    </r>
    <r>
      <rPr>
        <b val="true"/>
        <vertAlign val="superscript"/>
        <sz val="11"/>
        <color rgb="FF000000"/>
        <rFont val="Times New Roman"/>
        <family val="1"/>
        <charset val="1"/>
      </rPr>
      <t xml:space="preserve">3</t>
    </r>
  </si>
  <si>
    <t xml:space="preserve">{[((3,4521/30)/12]x100}</t>
  </si>
  <si>
    <t xml:space="preserve">Art. 59 a 64 da Lei n.º 8.213/91.</t>
  </si>
  <si>
    <r>
      <rPr>
        <b val="true"/>
        <sz val="11"/>
        <color rgb="FF000000"/>
        <rFont val="Times New Roman"/>
        <family val="1"/>
        <charset val="1"/>
      </rPr>
      <t xml:space="preserve">Licença Paternidade</t>
    </r>
    <r>
      <rPr>
        <b val="true"/>
        <vertAlign val="superscript"/>
        <sz val="11"/>
        <color rgb="FF000000"/>
        <rFont val="Times New Roman"/>
        <family val="1"/>
        <charset val="1"/>
      </rPr>
      <t xml:space="preserve">4</t>
    </r>
  </si>
  <si>
    <t xml:space="preserve">{[5/30)/12]x 0,009459}x 100</t>
  </si>
  <si>
    <t xml:space="preserve">Art. 7º, XIX, CF/88 e 10, § 1º, da CLT e inciso II do art. 1º da Lei nº 11.770, de 9 de setembro de 2008</t>
  </si>
  <si>
    <r>
      <rPr>
        <b val="true"/>
        <sz val="11"/>
        <color rgb="FF000000"/>
        <rFont val="Times New Roman"/>
        <family val="1"/>
        <charset val="1"/>
      </rPr>
      <t xml:space="preserve">Ausência por Acidente de Trabalho</t>
    </r>
    <r>
      <rPr>
        <b val="true"/>
        <vertAlign val="superscript"/>
        <sz val="11"/>
        <rFont val="Times New Roman"/>
        <family val="1"/>
        <charset val="1"/>
      </rPr>
      <t xml:space="preserve">5</t>
    </r>
  </si>
  <si>
    <t xml:space="preserve">{[15/30)/12] x 0,063656}x100</t>
  </si>
  <si>
    <t xml:space="preserve">§ 2º do art. 43 da Lei 8.213, de 24 de julho de 1991.</t>
  </si>
  <si>
    <r>
      <rPr>
        <b val="true"/>
        <sz val="11"/>
        <color rgb="FF000000"/>
        <rFont val="Times New Roman"/>
        <family val="1"/>
        <charset val="1"/>
      </rPr>
      <t xml:space="preserve">Afastamento Maternidade</t>
    </r>
    <r>
      <rPr>
        <b val="true"/>
        <vertAlign val="superscript"/>
        <sz val="11"/>
        <color rgb="FF000000"/>
        <rFont val="Times New Roman"/>
        <family val="1"/>
        <charset val="1"/>
      </rPr>
      <t xml:space="preserve">6</t>
    </r>
  </si>
  <si>
    <t xml:space="preserve">{{[(1+1/3)x(4/12]/12}x 0,013739178</t>
  </si>
  <si>
    <t xml:space="preserve">Impacto do item férias sobre a licença maternidade, visto que a licença é paga pelo INSS e não gera custo e reposição, inciso I do art. 1º da Lei nº 11.770, de 9 de setembro de 2008</t>
  </si>
  <si>
    <t xml:space="preserve">Total Submódulo 4.1</t>
  </si>
  <si>
    <r>
      <rPr>
        <sz val="11"/>
        <color rgb="FF000000"/>
        <rFont val="Times New Roman"/>
        <family val="1"/>
        <charset val="1"/>
      </rPr>
      <t xml:space="preserve">1 Média estimada (1x1=1) de ausência justificada conforme página 17 do Caderno de Estudo sobre a Composição dos Custos dos Valores Limites dos Serviços de Serviços de Limpeza e Conservação do Piauí.  Disponível no Link </t>
    </r>
    <r>
      <rPr>
        <b val="true"/>
        <sz val="11"/>
        <color rgb="FF000000"/>
        <rFont val="Times New Roman"/>
        <family val="1"/>
        <charset val="1"/>
      </rPr>
      <t xml:space="preserve">https://www.comprasgovernamentais.gov.br/images/conteudo/ArquivosCGNOR/Cadernostecnicos/Cadernos2018/CT_LIM_PI_2018.pdf</t>
    </r>
  </si>
  <si>
    <r>
      <rPr>
        <sz val="11"/>
        <color rgb="FF000000"/>
        <rFont val="Times New Roman"/>
        <family val="1"/>
        <charset val="1"/>
      </rPr>
      <t xml:space="preserve">2 Média estimada {(0,1522x2)+(0,0309x2x(252/365))+(0,0123x3)+(0,02x1)+(0,004x1)+(0,0017x6)}= 0,41876 dias de ausências legais, conforme página 17 do Caderno de Estudo sobre a Composição dos Custos dos Valores Limites dos Serviços de Serviços de Limpeza e Conservação do Piauí.  Disponível no Link </t>
    </r>
    <r>
      <rPr>
        <b val="true"/>
        <sz val="11"/>
        <color rgb="FF000000"/>
        <rFont val="Times New Roman"/>
        <family val="1"/>
        <charset val="1"/>
      </rPr>
      <t xml:space="preserve">https://www.comprasgovernamentais.gov.br/images/conteudo/ArquivosCGNOR/Cadernostecnicos/Cadernos2018/CT_LIM_PI_2018.pdf</t>
    </r>
  </si>
  <si>
    <r>
      <rPr>
        <sz val="11"/>
        <color rgb="FF000000"/>
        <rFont val="Times New Roman"/>
        <family val="1"/>
        <charset val="1"/>
      </rPr>
      <t xml:space="preserve">3 Média estimada (1 x 5 x 252/365 = 3,4521) de ausência por doença conforme página 17 do Caderno de Estudo sobre a Composição dos Custos dos Valores Limites dos Serviços de Serviços de Limpeza e Conservação do Piauí.  Disponível no Link </t>
    </r>
    <r>
      <rPr>
        <b val="true"/>
        <sz val="11"/>
        <color rgb="FF000000"/>
        <rFont val="Times New Roman"/>
        <family val="1"/>
        <charset val="1"/>
      </rPr>
      <t xml:space="preserve">https://www.comprasgovernamentais.gov.br/images/conteudo/ArquivosCGNOR/Cadernostecnicos/Cadernos2018/CT_LIM_PI_2018.pdf</t>
    </r>
  </si>
  <si>
    <t xml:space="preserve">4 Estimativa de 5 (cinco) dias da licença por ano combinada com a estimativa (0,018 x 252/365 =0,01243) = 0,009459 presente na página 17 do Caderno de Estudo sobre a Composição dos Custos dos Valores Limites dos Serviços de Serviços de Limpeza e Conservação do Piauí.  Disponível no Link https://www.comprasgovernamentais.gov.br/images/conteudo/ArquivosCGNOR/Cadernostecnicos/Cadernos2018/CT_LIM_PI_2018.pdf. A estatimativa foi alterada de 20 para 5 dias, pois mesmo que a empresa faça a opção pelo Programa empresa Cidadã. a despesa é dedutível do IRPJ em função do art. 5º da Lei 11.770/2008 não havendo custo de reposição.</t>
  </si>
  <si>
    <r>
      <rPr>
        <sz val="11"/>
        <color rgb="FF000000"/>
        <rFont val="Times New Roman"/>
        <family val="1"/>
        <charset val="1"/>
      </rPr>
      <t xml:space="preserve">5  Estimativa de 15 (quinze) dias por ano combinada com estimativa (0,0922x252/365=0,063656) conforme página 17 do Caderno de Estudo sobre a Composição dos Custos dos Valores Limites dos Serviços de Serviços de Limpeza e Conservação do Piauí.  Disponível no Link </t>
    </r>
    <r>
      <rPr>
        <b val="true"/>
        <sz val="11"/>
        <color rgb="FF000000"/>
        <rFont val="Times New Roman"/>
        <family val="1"/>
        <charset val="1"/>
      </rPr>
      <t xml:space="preserve">https://www.comprasgovernamentais.gov.br/images/conteudo/ArquivosCGNOR/Cadernostecnicos/Cadernos2018/CT_LIM_PI_2018.pdf</t>
    </r>
  </si>
  <si>
    <r>
      <rPr>
        <sz val="11"/>
        <color rgb="FF000000"/>
        <rFont val="Times New Roman"/>
        <family val="1"/>
        <charset val="1"/>
      </rPr>
      <t xml:space="preserve">6 Estimativa de 0,013739178 (0,0199x252/365)) dos empregados usufruindo de 4 (quatro) meses de licença por ano conforme página 17 do Caderno de Estudo sobre a Composição dos Custos dos Valores Limites dos Serviços de Serviços de Limpeza e Conservação do Piauí.  Disponível no Link </t>
    </r>
    <r>
      <rPr>
        <b val="true"/>
        <sz val="11"/>
        <color rgb="FF000000"/>
        <rFont val="Times New Roman"/>
        <family val="1"/>
        <charset val="1"/>
      </rPr>
      <t xml:space="preserve">https://www.comprasgovernamentais.gov.br/images/conteudo/ArquivosCGNOR/Cadernostecnicos/Cadernos2018/CT_LIM_PI_2018.pdf</t>
    </r>
    <r>
      <rPr>
        <sz val="11"/>
        <color rgb="FF000000"/>
        <rFont val="Times New Roman"/>
        <family val="1"/>
        <charset val="1"/>
      </rPr>
      <t xml:space="preserve">. A estatística foi alterada de 180 dias ( 6 meses ) para 120 dias (4 meses), pois mesmo que a empresa faça a opção pelo Programa empresa Cidadã. a despesa é dedutível do IRPJ em função do art. 5º da Lei 11.770/2008). não havendo custo de reposição adicional</t>
    </r>
  </si>
  <si>
    <t xml:space="preserve">total submódulo 4.2</t>
  </si>
  <si>
    <t xml:space="preserve">Módulo 5:  Insumos Diversos</t>
  </si>
  <si>
    <t xml:space="preserve">Uniformes</t>
  </si>
  <si>
    <r>
      <rPr>
        <sz val="11"/>
        <rFont val="Times New Roman"/>
        <family val="1"/>
        <charset val="1"/>
      </rPr>
      <t xml:space="preserve">Valor Máximo constante na página de nº 21  do Caderno de Estudo sobre a Composição dos Custos dos Valores Limites dos Serviços de Serviços de Limpeza e Conservação do Piauí.  Disponível no Link </t>
    </r>
    <r>
      <rPr>
        <b val="true"/>
        <sz val="11"/>
        <rFont val="Times New Roman"/>
        <family val="1"/>
        <charset val="1"/>
      </rPr>
      <t xml:space="preserve">https://www.comprasgovernamentais.gov.br/images/conteudo/ArquivosCGNOR/Cadernostecnicos/Cadernos2018/CT_LIM_PI_2018.pdf.</t>
    </r>
  </si>
  <si>
    <t xml:space="preserve">B - Materiais</t>
  </si>
  <si>
    <t xml:space="preserve">C - Equipamentos</t>
  </si>
  <si>
    <t xml:space="preserve">,</t>
  </si>
  <si>
    <t xml:space="preserve">Módulo 6 : Custos indiretos, tributos e lucro</t>
  </si>
  <si>
    <t xml:space="preserve">Lucro e Despesas Indiretas</t>
  </si>
  <si>
    <r>
      <rPr>
        <sz val="11"/>
        <color rgb="FF000000"/>
        <rFont val="Times New Roman"/>
        <family val="1"/>
        <charset val="1"/>
      </rPr>
      <t xml:space="preserve">Para fins de estimativa do Tribunal de Justiça do Piauí, o LDI – Lucro e Despesas Indiretas, incluindo todos os impostos e contribuições não repercutíveis, incidentes sobre o total da Remuneração + Encargos Sociais + Insumos, é definido em 6,79%, enquanto os custos indiretos são definidos em 3%. Sendo os percentuais estimados conforme página 21 do Caderno de Estudo sobre a Composição dos Custos dos Valores Limites dos Serviços de Serviços de Limpeza e Conservação do Piauí.  Disponível no Link </t>
    </r>
    <r>
      <rPr>
        <b val="true"/>
        <sz val="11"/>
        <color rgb="FF000000"/>
        <rFont val="Times New Roman"/>
        <family val="1"/>
        <charset val="1"/>
      </rPr>
      <t xml:space="preserve">https://www.comprasgovernamentais.gov.br/images/conteudo/ArquivosCGNOR/Cadernostecnicos/Cadernos2018/CT_LIM_PI_2018.pdf</t>
    </r>
  </si>
  <si>
    <t xml:space="preserve">Tributação</t>
  </si>
  <si>
    <t xml:space="preserve">Os tributos (ISS, COFINS e PIS) foram definidos utilizando o regime de tributação de Lucro REAL, a licitante deve elaborar sua proposta e, por conseguinte, sua planilha com base no regime de tributação ao qual estará submetido durante a execução do contrato.</t>
  </si>
  <si>
    <t xml:space="preserve">Em decorrência do ISSQN, a planilha de custo  poderá sofrer revisões  de acordo com a Lei Tributária do Município onde se realizará a prestação de serviço.</t>
  </si>
  <si>
    <t xml:space="preserve">A - Despesas Administrativas/Operacionais</t>
  </si>
  <si>
    <t xml:space="preserve">B - Lucro </t>
  </si>
  <si>
    <t xml:space="preserve">C - Tributos</t>
  </si>
  <si>
    <t xml:space="preserve">C.2  Tributos estaduais (especificar</t>
  </si>
  <si>
    <t xml:space="preserve">Cálculo:</t>
  </si>
  <si>
    <t xml:space="preserve">{[Total (Remuneração + Encargos Sociais + Insumos) + Total (Lucro e despesas indiretas)] / [1-(COFINS + PIS + ISS)]/100]} x Alíquota</t>
  </si>
</sst>
</file>

<file path=xl/styles.xml><?xml version="1.0" encoding="utf-8"?>
<styleSheet xmlns="http://schemas.openxmlformats.org/spreadsheetml/2006/main">
  <numFmts count="17">
    <numFmt numFmtId="164" formatCode="General"/>
    <numFmt numFmtId="165" formatCode="0.000%"/>
    <numFmt numFmtId="166" formatCode="&quot;R$ &quot;#,##0.00"/>
    <numFmt numFmtId="167" formatCode="D/M/YYYY"/>
    <numFmt numFmtId="168" formatCode="#,##0"/>
    <numFmt numFmtId="169" formatCode="_(&quot;R$ &quot;* #,##0.00_);_(&quot;R$ &quot;* \(#,##0.00\);_(&quot;R$ &quot;* \-??_);_(@_)"/>
    <numFmt numFmtId="170" formatCode="_-* #,##0.00_-;\-* #,##0.00_-;_-* \-??_-;_-@_-"/>
    <numFmt numFmtId="171" formatCode="0.00"/>
    <numFmt numFmtId="172" formatCode="&quot;R$ &quot;#,##0.00;[RED]&quot;-R$ &quot;#,##0.00"/>
    <numFmt numFmtId="173" formatCode="#,##0.00"/>
    <numFmt numFmtId="174" formatCode="0.0"/>
    <numFmt numFmtId="175" formatCode="0%"/>
    <numFmt numFmtId="176" formatCode="0.00%"/>
    <numFmt numFmtId="177" formatCode="0.000000"/>
    <numFmt numFmtId="178" formatCode="0.0000%"/>
    <numFmt numFmtId="179" formatCode="0.0000000"/>
    <numFmt numFmtId="180" formatCode="0.00000"/>
  </numFmts>
  <fonts count="2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sz val="11"/>
      <name val="Arial"/>
      <family val="2"/>
      <charset val="1"/>
    </font>
    <font>
      <b val="true"/>
      <sz val="11"/>
      <name val="Arial"/>
      <family val="2"/>
      <charset val="1"/>
    </font>
    <font>
      <sz val="11"/>
      <color rgb="FF333333"/>
      <name val="Open Sans"/>
      <family val="2"/>
      <charset val="1"/>
    </font>
    <font>
      <sz val="11"/>
      <color rgb="FF0000FF"/>
      <name val="Georgia"/>
      <family val="1"/>
      <charset val="1"/>
    </font>
    <font>
      <sz val="11"/>
      <color rgb="FFFF0000"/>
      <name val="Arial"/>
      <family val="2"/>
      <charset val="1"/>
    </font>
    <font>
      <b val="true"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 val="true"/>
      <sz val="11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1"/>
      <name val="Times New Roman"/>
      <family val="1"/>
      <charset val="1"/>
    </font>
    <font>
      <b val="true"/>
      <sz val="11"/>
      <name val="Times New Roman"/>
      <family val="1"/>
      <charset val="1"/>
    </font>
    <font>
      <b val="true"/>
      <vertAlign val="superscript"/>
      <sz val="11"/>
      <color rgb="FF000000"/>
      <name val="Times New Roman"/>
      <family val="1"/>
      <charset val="1"/>
    </font>
    <font>
      <vertAlign val="superscript"/>
      <sz val="11"/>
      <color rgb="FF000000"/>
      <name val="Times New Roman"/>
      <family val="1"/>
      <charset val="1"/>
    </font>
    <font>
      <u val="single"/>
      <sz val="11"/>
      <color rgb="FF0000FF"/>
      <name val="Times New Roman"/>
      <family val="1"/>
      <charset val="1"/>
    </font>
    <font>
      <u val="single"/>
      <sz val="6"/>
      <color rgb="FF0000FF"/>
      <name val="Arial"/>
      <family val="2"/>
      <charset val="1"/>
    </font>
    <font>
      <b val="true"/>
      <vertAlign val="superscript"/>
      <sz val="11"/>
      <name val="Times New Roman"/>
      <family val="1"/>
      <charset val="1"/>
    </font>
    <font>
      <b val="true"/>
      <sz val="14"/>
      <name val="Times New Roman"/>
      <family val="1"/>
      <charset val="1"/>
    </font>
    <font>
      <sz val="14"/>
      <name val="Times New Roman"/>
      <family val="1"/>
      <charset val="1"/>
    </font>
    <font>
      <b val="true"/>
      <sz val="12"/>
      <color rgb="FF000000"/>
      <name val="Tahoma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00FF00"/>
        <bgColor rgb="FF33CCCC"/>
      </patternFill>
    </fill>
    <fill>
      <patternFill patternType="solid">
        <fgColor rgb="FFFAC090"/>
        <bgColor rgb="FFC8C8C9"/>
      </patternFill>
    </fill>
    <fill>
      <patternFill patternType="solid">
        <fgColor rgb="FF95B3D7"/>
        <bgColor rgb="FF8EB4E3"/>
      </patternFill>
    </fill>
    <fill>
      <patternFill patternType="solid">
        <fgColor rgb="FFFFFFFF"/>
        <bgColor rgb="FFFFFFCC"/>
      </patternFill>
    </fill>
    <fill>
      <patternFill patternType="solid">
        <fgColor rgb="FFC0C0C0"/>
        <bgColor rgb="FFC8C8C9"/>
      </patternFill>
    </fill>
    <fill>
      <patternFill patternType="solid">
        <fgColor rgb="FF8EB4E3"/>
        <bgColor rgb="FF95B3D7"/>
      </patternFill>
    </fill>
    <fill>
      <patternFill patternType="solid">
        <fgColor rgb="FFC6D9F1"/>
        <bgColor rgb="FFC8C8C9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  <fill>
      <patternFill patternType="solid">
        <fgColor rgb="FFC8C8C9"/>
        <bgColor rgb="FFC0C0C0"/>
      </patternFill>
    </fill>
  </fills>
  <borders count="36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medium"/>
      <top/>
      <bottom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9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0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5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5" fillId="0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5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5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4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6" fillId="4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6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5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5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5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5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6" fillId="5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6" fillId="5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9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4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6" fillId="4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5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6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5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7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7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6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5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5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6" fillId="5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6" fillId="5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5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6" fillId="7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7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5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6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6" borderId="5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6" fillId="6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6" fillId="6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6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6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7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7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6" fillId="7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5" fillId="0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6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1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5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2" fontId="11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2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8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8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5" borderId="12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5" borderId="2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13" fillId="5" borderId="2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5" borderId="12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5" borderId="12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3" fillId="5" borderId="2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3" fillId="5" borderId="2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9" borderId="1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5" borderId="0" xfId="23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5" borderId="0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2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2" fillId="0" borderId="13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1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1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6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1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6" fillId="0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6" fillId="9" borderId="2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6" fillId="9" borderId="2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6" fillId="9" borderId="2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11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11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11" fillId="9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11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11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11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11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11" borderId="2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1" fillId="0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1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1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2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1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0" fillId="11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11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5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14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73" fontId="14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3" fontId="1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1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73" fontId="10" fillId="5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1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3" fontId="14" fillId="0" borderId="1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73" fontId="14" fillId="9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1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1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73" fontId="14" fillId="9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1" fontId="11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14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3" fontId="14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3" fontId="14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3" fontId="14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73" fontId="14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0" fillId="11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3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2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4" fillId="0" borderId="0" xfId="19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6" fontId="14" fillId="0" borderId="0" xfId="19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26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5" fontId="11" fillId="0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26" xfId="2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2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1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0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5" fillId="5" borderId="1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5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7" fontId="18" fillId="0" borderId="0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6" fontId="1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78" fontId="14" fillId="0" borderId="0" xfId="19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9" fontId="1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3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80" fontId="1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0" fillId="11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11" borderId="3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11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1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4" fillId="0" borderId="0" xfId="15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0" fillId="0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14" fillId="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1" fillId="5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21" fillId="9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22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14" fillId="0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3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3" fontId="11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3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0" fillId="0" borderId="3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3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2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3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3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15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1" fillId="0" borderId="3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3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15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0" fillId="0" borderId="2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3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26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11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al 2" xfId="21" builtinId="53" customBuiltin="true"/>
    <cellStyle name="Normal 2 2" xfId="22" builtinId="53" customBuiltin="true"/>
    <cellStyle name="Normal 3" xfId="23" builtinId="53" customBuiltin="true"/>
    <cellStyle name="Normal 3 2" xfId="24" builtinId="53" customBuiltin="tru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5B3D7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8EB4E3"/>
      <rgbColor rgb="FFFF99CC"/>
      <rgbColor rgb="FFC8C8C9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hyperlink" Target="http://www.tjpi.jus.br/transparencia/uploads/legislacao_lei/file/2122/Portaria__Presid&#234;ncia__N&#186;_2845-2019_-_PJPI_TJPI_GABPRE_SECGER-mesclado.pdf" TargetMode="External"/><Relationship Id="rId3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false"/>
  </sheetPr>
  <dimension ref="A1:N65536"/>
  <sheetViews>
    <sheetView showFormulas="false" showGridLines="true" showRowColHeaders="true" showZeros="true" rightToLeft="false" tabSelected="true" showOutlineSymbols="true" defaultGridColor="true" view="pageBreakPreview" topLeftCell="A130" colorId="64" zoomScale="85" zoomScaleNormal="90" zoomScalePageLayoutView="85" workbookViewId="0">
      <selection pane="topLeft" activeCell="F140" activeCellId="0" sqref="F140"/>
    </sheetView>
  </sheetViews>
  <sheetFormatPr defaultRowHeight="14.25"/>
  <cols>
    <col collapsed="false" hidden="false" max="1" min="1" style="1" width="3.37244897959184"/>
    <col collapsed="false" hidden="false" max="2" min="2" style="2" width="63.5816326530612"/>
    <col collapsed="false" hidden="false" max="3" min="3" style="3" width="18.0867346938776"/>
    <col collapsed="false" hidden="false" max="4" min="4" style="4" width="14.4438775510204"/>
    <col collapsed="false" hidden="false" max="5" min="5" style="1" width="13.5"/>
    <col collapsed="false" hidden="false" max="6" min="6" style="1" width="14.7142857142857"/>
    <col collapsed="false" hidden="false" max="7" min="7" style="1" width="17.280612244898"/>
    <col collapsed="false" hidden="false" max="13" min="8" style="1" width="9.04591836734694"/>
    <col collapsed="false" hidden="false" max="14" min="14" style="1" width="18.0867346938776"/>
    <col collapsed="false" hidden="false" max="1025" min="15" style="1" width="9.04591836734694"/>
  </cols>
  <sheetData>
    <row r="1" customFormat="false" ht="15" hidden="false" customHeight="false" outlineLevel="0" collapsed="false">
      <c r="A1" s="5"/>
      <c r="C1" s="6"/>
      <c r="D1" s="7"/>
    </row>
    <row r="2" customFormat="false" ht="15.75" hidden="false" customHeight="false" outlineLevel="0" collapsed="false">
      <c r="A2" s="8" t="s">
        <v>0</v>
      </c>
      <c r="B2" s="8"/>
      <c r="C2" s="9" t="s">
        <v>1</v>
      </c>
      <c r="D2" s="9"/>
    </row>
    <row r="3" customFormat="false" ht="14.25" hidden="false" customHeight="false" outlineLevel="0" collapsed="false">
      <c r="A3" s="10"/>
      <c r="B3" s="11"/>
      <c r="C3" s="12"/>
      <c r="D3" s="13"/>
    </row>
    <row r="4" customFormat="false" ht="15" hidden="false" customHeight="false" outlineLevel="0" collapsed="false">
      <c r="A4" s="14" t="s">
        <v>2</v>
      </c>
      <c r="B4" s="14"/>
      <c r="C4" s="14"/>
      <c r="D4" s="14"/>
    </row>
    <row r="5" customFormat="false" ht="14.25" hidden="false" customHeight="false" outlineLevel="0" collapsed="false">
      <c r="A5" s="15" t="s">
        <v>3</v>
      </c>
      <c r="B5" s="16" t="s">
        <v>4</v>
      </c>
      <c r="C5" s="17"/>
      <c r="D5" s="18"/>
    </row>
    <row r="6" customFormat="false" ht="15" hidden="false" customHeight="false" outlineLevel="0" collapsed="false">
      <c r="A6" s="15" t="s">
        <v>5</v>
      </c>
      <c r="B6" s="16" t="s">
        <v>6</v>
      </c>
      <c r="C6" s="17"/>
      <c r="D6" s="19" t="s">
        <v>7</v>
      </c>
    </row>
    <row r="7" customFormat="false" ht="15" hidden="false" customHeight="false" outlineLevel="0" collapsed="false">
      <c r="A7" s="15" t="s">
        <v>8</v>
      </c>
      <c r="B7" s="16" t="s">
        <v>9</v>
      </c>
      <c r="C7" s="17"/>
      <c r="D7" s="20" t="s">
        <v>10</v>
      </c>
    </row>
    <row r="8" customFormat="false" ht="14.25" hidden="false" customHeight="false" outlineLevel="0" collapsed="false">
      <c r="A8" s="15" t="s">
        <v>11</v>
      </c>
      <c r="B8" s="16" t="s">
        <v>12</v>
      </c>
      <c r="C8" s="17"/>
      <c r="D8" s="21" t="n">
        <v>12</v>
      </c>
    </row>
    <row r="9" customFormat="false" ht="14.25" hidden="false" customHeight="false" outlineLevel="0" collapsed="false">
      <c r="A9" s="22"/>
      <c r="B9" s="23"/>
      <c r="C9" s="24"/>
      <c r="D9" s="25"/>
    </row>
    <row r="10" customFormat="false" ht="15" hidden="false" customHeight="false" outlineLevel="0" collapsed="false">
      <c r="A10" s="14" t="s">
        <v>13</v>
      </c>
      <c r="B10" s="14"/>
      <c r="C10" s="14"/>
      <c r="D10" s="14"/>
    </row>
    <row r="11" customFormat="false" ht="14.25" hidden="false" customHeight="false" outlineLevel="0" collapsed="false">
      <c r="A11" s="26"/>
      <c r="B11" s="27" t="s">
        <v>14</v>
      </c>
      <c r="C11" s="17"/>
      <c r="D11" s="28"/>
    </row>
    <row r="12" customFormat="false" ht="14.25" hidden="false" customHeight="false" outlineLevel="0" collapsed="false">
      <c r="A12" s="26"/>
      <c r="B12" s="27" t="s">
        <v>15</v>
      </c>
      <c r="C12" s="17"/>
      <c r="D12" s="28"/>
    </row>
    <row r="13" customFormat="false" ht="14.25" hidden="false" customHeight="false" outlineLevel="0" collapsed="false">
      <c r="A13" s="26"/>
      <c r="B13" s="27" t="s">
        <v>16</v>
      </c>
      <c r="C13" s="17"/>
      <c r="D13" s="28"/>
      <c r="F13" s="29"/>
    </row>
    <row r="14" customFormat="false" ht="14.25" hidden="false" customHeight="false" outlineLevel="0" collapsed="false">
      <c r="A14" s="30"/>
      <c r="B14" s="31"/>
      <c r="C14" s="32"/>
      <c r="D14" s="33"/>
      <c r="F14" s="34"/>
    </row>
    <row r="15" customFormat="false" ht="14.25" hidden="false" customHeight="false" outlineLevel="0" collapsed="false">
      <c r="A15" s="22"/>
      <c r="B15" s="23"/>
      <c r="C15" s="24"/>
      <c r="D15" s="25"/>
    </row>
    <row r="16" customFormat="false" ht="15" hidden="false" customHeight="false" outlineLevel="0" collapsed="false">
      <c r="A16" s="14" t="s">
        <v>17</v>
      </c>
      <c r="B16" s="14"/>
      <c r="C16" s="14"/>
      <c r="D16" s="14"/>
    </row>
    <row r="17" customFormat="false" ht="14.25" hidden="false" customHeight="false" outlineLevel="0" collapsed="false">
      <c r="A17" s="15" t="n">
        <v>1</v>
      </c>
      <c r="B17" s="16" t="s">
        <v>18</v>
      </c>
      <c r="C17" s="17"/>
      <c r="D17" s="35" t="s">
        <v>19</v>
      </c>
    </row>
    <row r="18" customFormat="false" ht="14.25" hidden="false" customHeight="false" outlineLevel="0" collapsed="false">
      <c r="A18" s="15" t="n">
        <v>2</v>
      </c>
      <c r="B18" s="16" t="s">
        <v>20</v>
      </c>
      <c r="C18" s="17"/>
      <c r="D18" s="36"/>
    </row>
    <row r="19" customFormat="false" ht="14.25" hidden="false" customHeight="false" outlineLevel="0" collapsed="false">
      <c r="A19" s="15" t="n">
        <v>3</v>
      </c>
      <c r="B19" s="16" t="s">
        <v>21</v>
      </c>
      <c r="C19" s="17"/>
      <c r="D19" s="36" t="n">
        <f aca="false">'Memoria de Cálculo'!C4</f>
        <v>1036.43</v>
      </c>
    </row>
    <row r="20" customFormat="false" ht="14.25" hidden="false" customHeight="false" outlineLevel="0" collapsed="false">
      <c r="A20" s="15" t="n">
        <v>4</v>
      </c>
      <c r="B20" s="16" t="s">
        <v>22</v>
      </c>
      <c r="C20" s="17"/>
      <c r="D20" s="36" t="s">
        <v>23</v>
      </c>
    </row>
    <row r="21" customFormat="false" ht="14.25" hidden="false" customHeight="false" outlineLevel="0" collapsed="false">
      <c r="A21" s="15" t="n">
        <v>5</v>
      </c>
      <c r="B21" s="16" t="s">
        <v>24</v>
      </c>
      <c r="C21" s="17"/>
      <c r="D21" s="18" t="n">
        <v>43466</v>
      </c>
    </row>
    <row r="22" customFormat="false" ht="14.25" hidden="false" customHeight="false" outlineLevel="0" collapsed="false">
      <c r="A22" s="27"/>
      <c r="B22" s="37"/>
      <c r="C22" s="17"/>
      <c r="D22" s="38"/>
    </row>
    <row r="23" customFormat="false" ht="15" hidden="false" customHeight="false" outlineLevel="0" collapsed="false">
      <c r="A23" s="14" t="s">
        <v>25</v>
      </c>
      <c r="B23" s="14"/>
      <c r="C23" s="14"/>
      <c r="D23" s="14"/>
    </row>
    <row r="24" customFormat="false" ht="15" hidden="false" customHeight="false" outlineLevel="0" collapsed="false">
      <c r="A24" s="39" t="n">
        <v>1</v>
      </c>
      <c r="B24" s="40" t="s">
        <v>26</v>
      </c>
      <c r="C24" s="41" t="s">
        <v>27</v>
      </c>
      <c r="D24" s="19" t="s">
        <v>28</v>
      </c>
    </row>
    <row r="25" customFormat="false" ht="15" hidden="false" customHeight="false" outlineLevel="0" collapsed="false">
      <c r="A25" s="39" t="s">
        <v>3</v>
      </c>
      <c r="B25" s="42" t="s">
        <v>29</v>
      </c>
      <c r="C25" s="43"/>
      <c r="D25" s="35" t="n">
        <f aca="false">(150/220)*D19</f>
        <v>706.656818181818</v>
      </c>
    </row>
    <row r="26" customFormat="false" ht="15" hidden="false" customHeight="false" outlineLevel="0" collapsed="false">
      <c r="A26" s="39" t="s">
        <v>5</v>
      </c>
      <c r="B26" s="42" t="s">
        <v>30</v>
      </c>
      <c r="C26" s="43"/>
      <c r="D26" s="44"/>
    </row>
    <row r="27" customFormat="false" ht="15" hidden="false" customHeight="false" outlineLevel="0" collapsed="false">
      <c r="A27" s="39" t="s">
        <v>8</v>
      </c>
      <c r="B27" s="42" t="s">
        <v>31</v>
      </c>
      <c r="C27" s="43"/>
      <c r="D27" s="44"/>
    </row>
    <row r="28" customFormat="false" ht="15" hidden="false" customHeight="false" outlineLevel="0" collapsed="false">
      <c r="A28" s="39" t="s">
        <v>11</v>
      </c>
      <c r="B28" s="42" t="s">
        <v>32</v>
      </c>
      <c r="C28" s="43"/>
      <c r="D28" s="44"/>
    </row>
    <row r="29" customFormat="false" ht="15" hidden="false" customHeight="false" outlineLevel="0" collapsed="false">
      <c r="A29" s="45" t="s">
        <v>33</v>
      </c>
      <c r="B29" s="42" t="s">
        <v>34</v>
      </c>
      <c r="C29" s="43"/>
      <c r="D29" s="44"/>
    </row>
    <row r="30" customFormat="false" ht="15" hidden="false" customHeight="false" outlineLevel="0" collapsed="false">
      <c r="A30" s="39" t="s">
        <v>35</v>
      </c>
      <c r="B30" s="42" t="s">
        <v>36</v>
      </c>
      <c r="C30" s="43"/>
      <c r="D30" s="44"/>
    </row>
    <row r="31" customFormat="false" ht="15" hidden="false" customHeight="false" outlineLevel="0" collapsed="false">
      <c r="A31" s="45" t="s">
        <v>37</v>
      </c>
      <c r="B31" s="42" t="s">
        <v>38</v>
      </c>
      <c r="C31" s="43"/>
      <c r="D31" s="44"/>
    </row>
    <row r="32" customFormat="false" ht="15" hidden="false" customHeight="false" outlineLevel="0" collapsed="false">
      <c r="A32" s="46" t="s">
        <v>39</v>
      </c>
      <c r="B32" s="46"/>
      <c r="C32" s="47"/>
      <c r="D32" s="48" t="n">
        <f aca="false">SUM(D25:D31)</f>
        <v>706.656818181818</v>
      </c>
    </row>
    <row r="33" customFormat="false" ht="15" hidden="false" customHeight="false" outlineLevel="0" collapsed="false">
      <c r="A33" s="49"/>
      <c r="B33" s="50"/>
      <c r="C33" s="51"/>
      <c r="D33" s="52"/>
      <c r="E33" s="53"/>
    </row>
    <row r="34" customFormat="false" ht="15" hidden="false" customHeight="false" outlineLevel="0" collapsed="false">
      <c r="A34" s="14" t="s">
        <v>40</v>
      </c>
      <c r="B34" s="14"/>
      <c r="C34" s="14"/>
      <c r="D34" s="14"/>
      <c r="E34" s="53"/>
      <c r="F34" s="4"/>
    </row>
    <row r="35" customFormat="false" ht="15" hidden="false" customHeight="false" outlineLevel="0" collapsed="false">
      <c r="A35" s="39" t="s">
        <v>41</v>
      </c>
      <c r="B35" s="39"/>
      <c r="C35" s="41" t="s">
        <v>27</v>
      </c>
      <c r="D35" s="19" t="s">
        <v>28</v>
      </c>
      <c r="E35" s="53"/>
    </row>
    <row r="36" customFormat="false" ht="15" hidden="false" customHeight="false" outlineLevel="0" collapsed="false">
      <c r="A36" s="54" t="s">
        <v>3</v>
      </c>
      <c r="B36" s="42" t="s">
        <v>42</v>
      </c>
      <c r="C36" s="43" t="n">
        <f aca="false">'Memoria de Cálculo'!C15</f>
        <v>0.0833333333333333</v>
      </c>
      <c r="D36" s="44" t="n">
        <f aca="false">C36*$D$32</f>
        <v>58.8880681818182</v>
      </c>
      <c r="E36" s="55"/>
      <c r="F36" s="4"/>
    </row>
    <row r="37" customFormat="false" ht="15" hidden="false" customHeight="false" outlineLevel="0" collapsed="false">
      <c r="A37" s="54" t="s">
        <v>5</v>
      </c>
      <c r="B37" s="42" t="s">
        <v>43</v>
      </c>
      <c r="C37" s="43" t="n">
        <f aca="false">'Memoria de Cálculo'!C16</f>
        <v>0.0277777777777778</v>
      </c>
      <c r="D37" s="44" t="n">
        <f aca="false">C37*$D$32</f>
        <v>19.6293560606061</v>
      </c>
      <c r="E37" s="53"/>
      <c r="F37" s="4"/>
    </row>
    <row r="38" customFormat="false" ht="15" hidden="false" customHeight="false" outlineLevel="0" collapsed="false">
      <c r="A38" s="56"/>
      <c r="B38" s="57" t="s">
        <v>44</v>
      </c>
      <c r="C38" s="58" t="n">
        <f aca="false">C37+C36</f>
        <v>0.111111111111111</v>
      </c>
      <c r="D38" s="44" t="n">
        <f aca="false">D37+D36</f>
        <v>78.5174242424242</v>
      </c>
      <c r="E38" s="53"/>
    </row>
    <row r="39" customFormat="false" ht="20.25" hidden="false" customHeight="true" outlineLevel="0" collapsed="false">
      <c r="A39" s="59" t="s">
        <v>8</v>
      </c>
      <c r="B39" s="60" t="s">
        <v>45</v>
      </c>
      <c r="C39" s="61" t="n">
        <f aca="false">C38*C51</f>
        <v>0.0442222222222222</v>
      </c>
      <c r="D39" s="62" t="n">
        <f aca="false">D38*C51</f>
        <v>31.2499348484849</v>
      </c>
      <c r="E39" s="53"/>
    </row>
    <row r="40" customFormat="false" ht="15" hidden="false" customHeight="false" outlineLevel="0" collapsed="false">
      <c r="A40" s="46" t="s">
        <v>46</v>
      </c>
      <c r="B40" s="46"/>
      <c r="C40" s="47" t="n">
        <f aca="false">C39+C38</f>
        <v>0.155333333333333</v>
      </c>
      <c r="D40" s="48" t="n">
        <f aca="false">D39+D38</f>
        <v>109.767359090909</v>
      </c>
      <c r="E40" s="53"/>
    </row>
    <row r="41" customFormat="false" ht="15" hidden="false" customHeight="false" outlineLevel="0" collapsed="false">
      <c r="A41" s="63"/>
      <c r="B41" s="64"/>
      <c r="C41" s="65"/>
      <c r="D41" s="66"/>
      <c r="E41" s="53"/>
    </row>
    <row r="42" customFormat="false" ht="15" hidden="false" customHeight="false" outlineLevel="0" collapsed="false">
      <c r="A42" s="39" t="s">
        <v>47</v>
      </c>
      <c r="B42" s="39"/>
      <c r="C42" s="41" t="s">
        <v>27</v>
      </c>
      <c r="D42" s="19" t="s">
        <v>28</v>
      </c>
      <c r="E42" s="53"/>
      <c r="F42" s="67"/>
      <c r="G42" s="68"/>
    </row>
    <row r="43" customFormat="false" ht="15" hidden="false" customHeight="false" outlineLevel="0" collapsed="false">
      <c r="A43" s="54" t="s">
        <v>3</v>
      </c>
      <c r="B43" s="42" t="s">
        <v>48</v>
      </c>
      <c r="C43" s="69" t="n">
        <f aca="false">'Memoria de Cálculo'!C22</f>
        <v>0.2</v>
      </c>
      <c r="D43" s="44" t="n">
        <f aca="false">C43*$D$32</f>
        <v>141.331363636364</v>
      </c>
      <c r="E43" s="53"/>
      <c r="F43" s="70"/>
      <c r="G43" s="68"/>
    </row>
    <row r="44" customFormat="false" ht="15" hidden="false" customHeight="false" outlineLevel="0" collapsed="false">
      <c r="A44" s="54" t="s">
        <v>5</v>
      </c>
      <c r="B44" s="42" t="s">
        <v>49</v>
      </c>
      <c r="C44" s="69" t="n">
        <f aca="false">'Memoria de Cálculo'!C23</f>
        <v>0.025</v>
      </c>
      <c r="D44" s="44" t="n">
        <f aca="false">C44*$D$32</f>
        <v>17.6664204545455</v>
      </c>
      <c r="E44" s="53"/>
      <c r="F44" s="67"/>
    </row>
    <row r="45" customFormat="false" ht="15" hidden="false" customHeight="false" outlineLevel="0" collapsed="false">
      <c r="A45" s="54" t="s">
        <v>8</v>
      </c>
      <c r="B45" s="42" t="s">
        <v>50</v>
      </c>
      <c r="C45" s="69" t="n">
        <f aca="false">'Memoria de Cálculo'!C24</f>
        <v>0.06</v>
      </c>
      <c r="D45" s="44" t="n">
        <f aca="false">C45*$D$32</f>
        <v>42.3994090909091</v>
      </c>
      <c r="E45" s="55"/>
      <c r="F45" s="71"/>
    </row>
    <row r="46" customFormat="false" ht="15" hidden="false" customHeight="false" outlineLevel="0" collapsed="false">
      <c r="A46" s="54" t="s">
        <v>11</v>
      </c>
      <c r="B46" s="42" t="s">
        <v>51</v>
      </c>
      <c r="C46" s="69" t="n">
        <f aca="false">'Memoria de Cálculo'!C25</f>
        <v>0.015</v>
      </c>
      <c r="D46" s="44" t="n">
        <f aca="false">C46*$D$32</f>
        <v>10.5998522727273</v>
      </c>
      <c r="E46" s="53"/>
    </row>
    <row r="47" customFormat="false" ht="15" hidden="false" customHeight="false" outlineLevel="0" collapsed="false">
      <c r="A47" s="54" t="s">
        <v>33</v>
      </c>
      <c r="B47" s="42" t="s">
        <v>52</v>
      </c>
      <c r="C47" s="69" t="n">
        <f aca="false">'Memoria de Cálculo'!C26</f>
        <v>0.01</v>
      </c>
      <c r="D47" s="44" t="n">
        <f aca="false">C47*$D$32</f>
        <v>7.06656818181818</v>
      </c>
      <c r="E47" s="53"/>
    </row>
    <row r="48" customFormat="false" ht="15" hidden="false" customHeight="false" outlineLevel="0" collapsed="false">
      <c r="A48" s="54" t="s">
        <v>35</v>
      </c>
      <c r="B48" s="42" t="s">
        <v>53</v>
      </c>
      <c r="C48" s="69" t="n">
        <f aca="false">'Memoria de Cálculo'!C27</f>
        <v>0.006</v>
      </c>
      <c r="D48" s="44" t="n">
        <f aca="false">C48*$D$32</f>
        <v>4.23994090909091</v>
      </c>
      <c r="E48" s="53"/>
    </row>
    <row r="49" customFormat="false" ht="15" hidden="false" customHeight="false" outlineLevel="0" collapsed="false">
      <c r="A49" s="54" t="s">
        <v>37</v>
      </c>
      <c r="B49" s="42" t="s">
        <v>54</v>
      </c>
      <c r="C49" s="69" t="n">
        <f aca="false">'Memoria de Cálculo'!C28</f>
        <v>0.002</v>
      </c>
      <c r="D49" s="44" t="n">
        <f aca="false">C49*$D$32</f>
        <v>1.41331363636364</v>
      </c>
      <c r="E49" s="53"/>
    </row>
    <row r="50" customFormat="false" ht="15" hidden="false" customHeight="false" outlineLevel="0" collapsed="false">
      <c r="A50" s="54" t="s">
        <v>55</v>
      </c>
      <c r="B50" s="42" t="s">
        <v>56</v>
      </c>
      <c r="C50" s="69" t="n">
        <f aca="false">'Memoria de Cálculo'!C29</f>
        <v>0.08</v>
      </c>
      <c r="D50" s="44" t="n">
        <f aca="false">C50*$D$32</f>
        <v>56.5325454545455</v>
      </c>
      <c r="E50" s="53"/>
    </row>
    <row r="51" customFormat="false" ht="15" hidden="false" customHeight="false" outlineLevel="0" collapsed="false">
      <c r="A51" s="72" t="s">
        <v>57</v>
      </c>
      <c r="B51" s="72"/>
      <c r="C51" s="73" t="n">
        <f aca="false">SUM(C43:C50)</f>
        <v>0.398</v>
      </c>
      <c r="D51" s="74" t="n">
        <f aca="false">SUM(D43:D50)</f>
        <v>281.249413636364</v>
      </c>
      <c r="E51" s="55"/>
      <c r="F51" s="75"/>
    </row>
    <row r="52" customFormat="false" ht="15" hidden="false" customHeight="false" outlineLevel="0" collapsed="false">
      <c r="A52" s="76"/>
      <c r="B52" s="64"/>
      <c r="C52" s="65"/>
      <c r="D52" s="66"/>
      <c r="E52" s="53"/>
    </row>
    <row r="53" customFormat="false" ht="15" hidden="false" customHeight="false" outlineLevel="0" collapsed="false">
      <c r="A53" s="39" t="s">
        <v>58</v>
      </c>
      <c r="B53" s="39"/>
      <c r="C53" s="58"/>
      <c r="D53" s="19" t="s">
        <v>28</v>
      </c>
      <c r="E53" s="53"/>
    </row>
    <row r="54" customFormat="false" ht="15" hidden="false" customHeight="false" outlineLevel="0" collapsed="false">
      <c r="A54" s="54" t="s">
        <v>3</v>
      </c>
      <c r="B54" s="42" t="s">
        <v>59</v>
      </c>
      <c r="C54" s="43"/>
      <c r="D54" s="44" t="n">
        <f aca="false">(3.85*2*22)-(0.06*D25)</f>
        <v>127.000590909091</v>
      </c>
      <c r="E54" s="53"/>
    </row>
    <row r="55" customFormat="false" ht="15" hidden="false" customHeight="false" outlineLevel="0" collapsed="false">
      <c r="A55" s="54" t="s">
        <v>5</v>
      </c>
      <c r="B55" s="42" t="s">
        <v>60</v>
      </c>
      <c r="C55" s="43"/>
      <c r="D55" s="44" t="n">
        <f aca="false">'Memoria de Cálculo'!C37</f>
        <v>158.03</v>
      </c>
      <c r="E55" s="53"/>
    </row>
    <row r="56" customFormat="false" ht="43.5" hidden="false" customHeight="false" outlineLevel="0" collapsed="false">
      <c r="A56" s="54" t="s">
        <v>8</v>
      </c>
      <c r="B56" s="42" t="s">
        <v>61</v>
      </c>
      <c r="C56" s="43"/>
      <c r="D56" s="62" t="n">
        <f aca="false">'Memoria de Cálculo'!C38</f>
        <v>45.13</v>
      </c>
      <c r="E56" s="53"/>
    </row>
    <row r="57" customFormat="false" ht="15" hidden="false" customHeight="false" outlineLevel="0" collapsed="false">
      <c r="A57" s="54" t="s">
        <v>11</v>
      </c>
      <c r="B57" s="42" t="s">
        <v>62</v>
      </c>
      <c r="C57" s="43"/>
      <c r="D57" s="44" t="n">
        <f aca="false">'Memoria de Cálculo'!C39</f>
        <v>0</v>
      </c>
      <c r="E57" s="53"/>
    </row>
    <row r="58" customFormat="false" ht="15" hidden="false" customHeight="false" outlineLevel="0" collapsed="false">
      <c r="A58" s="54" t="s">
        <v>33</v>
      </c>
      <c r="B58" s="42" t="s">
        <v>63</v>
      </c>
      <c r="C58" s="43"/>
      <c r="D58" s="44" t="n">
        <f aca="false">'Memoria de Cálculo'!C40</f>
        <v>5.35</v>
      </c>
      <c r="E58" s="53"/>
    </row>
    <row r="59" customFormat="false" ht="15" hidden="false" customHeight="false" outlineLevel="0" collapsed="false">
      <c r="A59" s="54" t="s">
        <v>35</v>
      </c>
      <c r="B59" s="42" t="s">
        <v>38</v>
      </c>
      <c r="C59" s="43"/>
      <c r="D59" s="44" t="n">
        <f aca="false">'Memoria de Cálculo'!C41</f>
        <v>0</v>
      </c>
      <c r="E59" s="53"/>
    </row>
    <row r="60" customFormat="false" ht="15" hidden="false" customHeight="false" outlineLevel="0" collapsed="false">
      <c r="A60" s="46" t="s">
        <v>64</v>
      </c>
      <c r="B60" s="46"/>
      <c r="C60" s="47"/>
      <c r="D60" s="74" t="n">
        <f aca="false">SUM(D54:D59)</f>
        <v>335.510590909091</v>
      </c>
      <c r="E60" s="53"/>
    </row>
    <row r="61" customFormat="false" ht="15" hidden="false" customHeight="false" outlineLevel="0" collapsed="false">
      <c r="A61" s="76"/>
      <c r="B61" s="64"/>
      <c r="C61" s="65"/>
      <c r="D61" s="66"/>
      <c r="E61" s="53"/>
    </row>
    <row r="62" customFormat="false" ht="15" hidden="false" customHeight="false" outlineLevel="0" collapsed="false">
      <c r="A62" s="77" t="s">
        <v>65</v>
      </c>
      <c r="B62" s="77"/>
      <c r="C62" s="77"/>
      <c r="D62" s="77"/>
      <c r="E62" s="53"/>
    </row>
    <row r="63" customFormat="false" ht="15" hidden="false" customHeight="false" outlineLevel="0" collapsed="false">
      <c r="A63" s="39" t="s">
        <v>66</v>
      </c>
      <c r="B63" s="39"/>
      <c r="C63" s="41"/>
      <c r="D63" s="19" t="s">
        <v>28</v>
      </c>
      <c r="E63" s="53"/>
    </row>
    <row r="64" customFormat="false" ht="15" hidden="false" customHeight="false" outlineLevel="0" collapsed="false">
      <c r="A64" s="54" t="s">
        <v>67</v>
      </c>
      <c r="B64" s="42" t="s">
        <v>68</v>
      </c>
      <c r="C64" s="43"/>
      <c r="D64" s="78" t="n">
        <f aca="false">D40</f>
        <v>109.767359090909</v>
      </c>
      <c r="E64" s="53"/>
    </row>
    <row r="65" customFormat="false" ht="15" hidden="false" customHeight="false" outlineLevel="0" collapsed="false">
      <c r="A65" s="79" t="s">
        <v>69</v>
      </c>
      <c r="B65" s="42" t="s">
        <v>70</v>
      </c>
      <c r="C65" s="43"/>
      <c r="D65" s="80" t="n">
        <f aca="false">D51</f>
        <v>281.249413636364</v>
      </c>
      <c r="E65" s="53"/>
    </row>
    <row r="66" customFormat="false" ht="15" hidden="false" customHeight="false" outlineLevel="0" collapsed="false">
      <c r="A66" s="79" t="s">
        <v>71</v>
      </c>
      <c r="B66" s="42" t="s">
        <v>72</v>
      </c>
      <c r="C66" s="43"/>
      <c r="D66" s="80" t="n">
        <f aca="false">D60</f>
        <v>335.510590909091</v>
      </c>
      <c r="E66" s="53"/>
    </row>
    <row r="67" customFormat="false" ht="15" hidden="false" customHeight="false" outlineLevel="0" collapsed="false">
      <c r="A67" s="46" t="s">
        <v>73</v>
      </c>
      <c r="B67" s="46"/>
      <c r="C67" s="47"/>
      <c r="D67" s="74" t="n">
        <f aca="false">SUM(D64:D66)</f>
        <v>726.527363636364</v>
      </c>
      <c r="E67" s="53"/>
    </row>
    <row r="68" customFormat="false" ht="15" hidden="false" customHeight="false" outlineLevel="0" collapsed="false">
      <c r="A68" s="81"/>
      <c r="B68" s="64"/>
      <c r="C68" s="65"/>
      <c r="D68" s="66"/>
      <c r="E68" s="53"/>
    </row>
    <row r="69" customFormat="false" ht="15" hidden="false" customHeight="false" outlineLevel="0" collapsed="false">
      <c r="A69" s="14" t="s">
        <v>74</v>
      </c>
      <c r="B69" s="14"/>
      <c r="C69" s="14"/>
      <c r="D69" s="14"/>
      <c r="E69" s="53"/>
    </row>
    <row r="70" customFormat="false" ht="15" hidden="false" customHeight="false" outlineLevel="0" collapsed="false">
      <c r="A70" s="39" t="s">
        <v>75</v>
      </c>
      <c r="B70" s="39"/>
      <c r="C70" s="41" t="s">
        <v>27</v>
      </c>
      <c r="D70" s="19" t="s">
        <v>28</v>
      </c>
      <c r="E70" s="53"/>
    </row>
    <row r="71" customFormat="false" ht="15" hidden="false" customHeight="false" outlineLevel="0" collapsed="false">
      <c r="A71" s="54" t="s">
        <v>3</v>
      </c>
      <c r="B71" s="82" t="s">
        <v>76</v>
      </c>
      <c r="C71" s="83" t="n">
        <f aca="false">'Memoria de Cálculo'!C46</f>
        <v>0.00833333333333333</v>
      </c>
      <c r="D71" s="44" t="n">
        <f aca="false">C71*$D$32</f>
        <v>5.88880681818182</v>
      </c>
      <c r="E71" s="53"/>
    </row>
    <row r="72" customFormat="false" ht="15" hidden="false" customHeight="false" outlineLevel="0" collapsed="false">
      <c r="A72" s="54" t="s">
        <v>5</v>
      </c>
      <c r="B72" s="42" t="s">
        <v>77</v>
      </c>
      <c r="C72" s="83" t="n">
        <f aca="false">'Memoria de Cálculo'!C47</f>
        <v>0.000666666666666667</v>
      </c>
      <c r="D72" s="44" t="n">
        <f aca="false">C72*$D$32</f>
        <v>0.471104545454545</v>
      </c>
      <c r="E72" s="53"/>
    </row>
    <row r="73" customFormat="false" ht="29.25" hidden="false" customHeight="false" outlineLevel="0" collapsed="false">
      <c r="A73" s="54" t="s">
        <v>8</v>
      </c>
      <c r="B73" s="82" t="s">
        <v>78</v>
      </c>
      <c r="C73" s="83" t="n">
        <f aca="false">'Memoria de Cálculo'!C48</f>
        <v>0.00511111111111111</v>
      </c>
      <c r="D73" s="44" t="n">
        <f aca="false">C73*$D$32</f>
        <v>3.61180151515151</v>
      </c>
      <c r="E73" s="53"/>
    </row>
    <row r="74" customFormat="false" ht="15" hidden="false" customHeight="false" outlineLevel="0" collapsed="false">
      <c r="A74" s="72" t="s">
        <v>79</v>
      </c>
      <c r="B74" s="72"/>
      <c r="C74" s="84" t="n">
        <f aca="false">SUM(C71:C73)</f>
        <v>0.0141111111111111</v>
      </c>
      <c r="D74" s="74" t="n">
        <f aca="false">SUM(D71:D73)</f>
        <v>9.97171287878788</v>
      </c>
      <c r="E74" s="53"/>
    </row>
    <row r="75" customFormat="false" ht="15" hidden="false" customHeight="false" outlineLevel="0" collapsed="false">
      <c r="A75" s="85"/>
      <c r="B75" s="86"/>
      <c r="C75" s="87"/>
      <c r="D75" s="88"/>
      <c r="E75" s="53"/>
    </row>
    <row r="76" customFormat="false" ht="15" hidden="false" customHeight="false" outlineLevel="0" collapsed="false">
      <c r="A76" s="39" t="s">
        <v>80</v>
      </c>
      <c r="B76" s="39"/>
      <c r="C76" s="41" t="s">
        <v>27</v>
      </c>
      <c r="D76" s="19" t="s">
        <v>28</v>
      </c>
      <c r="E76" s="53"/>
    </row>
    <row r="77" customFormat="false" ht="15" hidden="false" customHeight="false" outlineLevel="0" collapsed="false">
      <c r="A77" s="54" t="s">
        <v>3</v>
      </c>
      <c r="B77" s="42" t="s">
        <v>81</v>
      </c>
      <c r="C77" s="89" t="n">
        <f aca="false">'Memoria de Cálculo'!C56</f>
        <v>0.0194444444444444</v>
      </c>
      <c r="D77" s="44" t="n">
        <f aca="false">C77*$D$32</f>
        <v>13.7405492424242</v>
      </c>
      <c r="E77" s="53"/>
    </row>
    <row r="78" customFormat="false" ht="29.25" hidden="false" customHeight="false" outlineLevel="0" collapsed="false">
      <c r="A78" s="54" t="s">
        <v>5</v>
      </c>
      <c r="B78" s="42" t="s">
        <v>82</v>
      </c>
      <c r="C78" s="89" t="n">
        <f aca="false">'Memoria de Cálculo'!C57</f>
        <v>0.00773888888888889</v>
      </c>
      <c r="D78" s="44" t="n">
        <f aca="false">C78*$D$32</f>
        <v>5.46873859848485</v>
      </c>
      <c r="E78" s="53"/>
    </row>
    <row r="79" customFormat="false" ht="29.25" hidden="false" customHeight="false" outlineLevel="0" collapsed="false">
      <c r="A79" s="54" t="s">
        <v>8</v>
      </c>
      <c r="B79" s="82" t="s">
        <v>83</v>
      </c>
      <c r="C79" s="89" t="n">
        <f aca="false">'Memoria de Cálculo'!C58</f>
        <v>0.043</v>
      </c>
      <c r="D79" s="44" t="n">
        <f aca="false">C79*$D$32</f>
        <v>30.3862431818182</v>
      </c>
      <c r="E79" s="53"/>
    </row>
    <row r="80" customFormat="false" ht="15" hidden="false" customHeight="false" outlineLevel="0" collapsed="false">
      <c r="A80" s="46" t="s">
        <v>84</v>
      </c>
      <c r="B80" s="46"/>
      <c r="C80" s="84" t="n">
        <f aca="false">SUM(C77:C79)</f>
        <v>0.0701833333333333</v>
      </c>
      <c r="D80" s="74" t="n">
        <f aca="false">SUM(D77:D79)</f>
        <v>49.5955310227273</v>
      </c>
      <c r="E80" s="53"/>
    </row>
    <row r="81" customFormat="false" ht="15" hidden="false" customHeight="false" outlineLevel="0" collapsed="false">
      <c r="A81" s="56"/>
      <c r="B81" s="90"/>
      <c r="C81" s="91"/>
      <c r="D81" s="92"/>
      <c r="E81" s="53"/>
    </row>
    <row r="82" customFormat="false" ht="15" hidden="false" customHeight="false" outlineLevel="0" collapsed="false">
      <c r="A82" s="14" t="s">
        <v>85</v>
      </c>
      <c r="B82" s="14"/>
      <c r="C82" s="14"/>
      <c r="D82" s="14"/>
      <c r="E82" s="53"/>
    </row>
    <row r="83" customFormat="false" ht="15" hidden="false" customHeight="false" outlineLevel="0" collapsed="false">
      <c r="A83" s="39" t="s">
        <v>86</v>
      </c>
      <c r="B83" s="39"/>
      <c r="C83" s="58"/>
      <c r="D83" s="19" t="s">
        <v>28</v>
      </c>
      <c r="E83" s="53"/>
    </row>
    <row r="84" customFormat="false" ht="15" hidden="false" customHeight="false" outlineLevel="0" collapsed="false">
      <c r="A84" s="54" t="s">
        <v>87</v>
      </c>
      <c r="B84" s="42" t="s">
        <v>88</v>
      </c>
      <c r="C84" s="43"/>
      <c r="D84" s="78" t="n">
        <f aca="false">D74</f>
        <v>9.97171287878788</v>
      </c>
      <c r="E84" s="53"/>
    </row>
    <row r="85" customFormat="false" ht="15" hidden="false" customHeight="false" outlineLevel="0" collapsed="false">
      <c r="A85" s="79" t="s">
        <v>89</v>
      </c>
      <c r="B85" s="42" t="s">
        <v>90</v>
      </c>
      <c r="C85" s="43"/>
      <c r="D85" s="80" t="n">
        <f aca="false">D80</f>
        <v>49.5955310227273</v>
      </c>
      <c r="E85" s="53"/>
    </row>
    <row r="86" customFormat="false" ht="15" hidden="false" customHeight="false" outlineLevel="0" collapsed="false">
      <c r="A86" s="46" t="s">
        <v>91</v>
      </c>
      <c r="B86" s="46"/>
      <c r="C86" s="93"/>
      <c r="D86" s="94" t="n">
        <f aca="false">SUM(D84:D85)</f>
        <v>59.5672439015152</v>
      </c>
      <c r="E86" s="53"/>
    </row>
    <row r="87" customFormat="false" ht="15" hidden="false" customHeight="false" outlineLevel="0" collapsed="false">
      <c r="A87" s="56"/>
      <c r="B87" s="90"/>
      <c r="C87" s="91"/>
      <c r="D87" s="92"/>
      <c r="E87" s="53"/>
    </row>
    <row r="88" customFormat="false" ht="15" hidden="false" customHeight="false" outlineLevel="0" collapsed="false">
      <c r="A88" s="14" t="s">
        <v>92</v>
      </c>
      <c r="B88" s="14"/>
      <c r="C88" s="14"/>
      <c r="D88" s="14"/>
      <c r="E88" s="53"/>
    </row>
    <row r="89" customFormat="false" ht="15" hidden="false" customHeight="false" outlineLevel="0" collapsed="false">
      <c r="A89" s="39" t="s">
        <v>93</v>
      </c>
      <c r="B89" s="39"/>
      <c r="C89" s="41" t="s">
        <v>27</v>
      </c>
      <c r="D89" s="19" t="s">
        <v>28</v>
      </c>
      <c r="E89" s="53"/>
    </row>
    <row r="90" customFormat="false" ht="15" hidden="false" customHeight="false" outlineLevel="0" collapsed="false">
      <c r="A90" s="39" t="s">
        <v>3</v>
      </c>
      <c r="B90" s="16" t="s">
        <v>94</v>
      </c>
      <c r="C90" s="89" t="n">
        <f aca="false">'Memoria de Cálculo'!C69</f>
        <v>0.0833333333333333</v>
      </c>
      <c r="D90" s="44" t="n">
        <f aca="false">C90*$D$32</f>
        <v>58.8880681818182</v>
      </c>
      <c r="E90" s="53"/>
    </row>
    <row r="91" customFormat="false" ht="15" hidden="false" customHeight="false" outlineLevel="0" collapsed="false">
      <c r="A91" s="39" t="s">
        <v>5</v>
      </c>
      <c r="B91" s="16" t="s">
        <v>95</v>
      </c>
      <c r="C91" s="89" t="n">
        <f aca="false">'Memoria de Cálculo'!C70</f>
        <v>0.0331666666666667</v>
      </c>
      <c r="D91" s="44" t="n">
        <f aca="false">C91*$D$32</f>
        <v>23.4374511363636</v>
      </c>
      <c r="E91" s="53"/>
    </row>
    <row r="92" customFormat="false" ht="15" hidden="false" customHeight="false" outlineLevel="0" collapsed="false">
      <c r="A92" s="45" t="s">
        <v>8</v>
      </c>
      <c r="B92" s="95" t="s">
        <v>96</v>
      </c>
      <c r="C92" s="89" t="n">
        <f aca="false">'Memoria de Cálculo'!C71</f>
        <v>0.00277777777777778</v>
      </c>
      <c r="D92" s="44" t="n">
        <f aca="false">C92*$D$32</f>
        <v>1.96293560606061</v>
      </c>
      <c r="E92" s="53"/>
    </row>
    <row r="93" customFormat="false" ht="15" hidden="false" customHeight="false" outlineLevel="0" collapsed="false">
      <c r="A93" s="45" t="s">
        <v>11</v>
      </c>
      <c r="B93" s="95" t="s">
        <v>97</v>
      </c>
      <c r="C93" s="89" t="n">
        <f aca="false">'Memoria de Cálculo'!C72</f>
        <v>0.00116157610350076</v>
      </c>
      <c r="D93" s="44" t="n">
        <f aca="false">C93*$D$32</f>
        <v>0.820835673375882</v>
      </c>
      <c r="E93" s="53"/>
    </row>
    <row r="94" customFormat="false" ht="15" hidden="false" customHeight="false" outlineLevel="0" collapsed="false">
      <c r="A94" s="45" t="s">
        <v>33</v>
      </c>
      <c r="B94" s="95" t="s">
        <v>98</v>
      </c>
      <c r="C94" s="89" t="n">
        <f aca="false">'Memoria de Cálculo'!C73</f>
        <v>0.00958904109589041</v>
      </c>
      <c r="D94" s="44" t="n">
        <f aca="false">C94*$D$32</f>
        <v>6.77616127023661</v>
      </c>
      <c r="E94" s="53"/>
    </row>
    <row r="95" customFormat="false" ht="15" hidden="false" customHeight="false" outlineLevel="0" collapsed="false">
      <c r="A95" s="45" t="s">
        <v>35</v>
      </c>
      <c r="B95" s="16" t="s">
        <v>99</v>
      </c>
      <c r="C95" s="89" t="n">
        <f aca="false">'Memoria de Cálculo'!C74</f>
        <v>0.000131369863013699</v>
      </c>
      <c r="D95" s="44" t="n">
        <f aca="false">C95*$D$32</f>
        <v>0.0928334094022416</v>
      </c>
      <c r="E95" s="53"/>
    </row>
    <row r="96" customFormat="false" ht="14.95" hidden="false" customHeight="false" outlineLevel="0" collapsed="false">
      <c r="A96" s="39" t="s">
        <v>37</v>
      </c>
      <c r="B96" s="95" t="s">
        <v>100</v>
      </c>
      <c r="C96" s="89" t="n">
        <f aca="false">'Memoria de Cálculo'!C75</f>
        <v>0.00265232876712329</v>
      </c>
      <c r="D96" s="44" t="n">
        <f aca="false">C96*$D$32</f>
        <v>1.87428620734745</v>
      </c>
      <c r="E96" s="53"/>
    </row>
    <row r="97" customFormat="false" ht="15" hidden="false" customHeight="false" outlineLevel="0" collapsed="false">
      <c r="A97" s="54" t="s">
        <v>55</v>
      </c>
      <c r="B97" s="95" t="s">
        <v>101</v>
      </c>
      <c r="C97" s="89" t="n">
        <f aca="false">'Memoria de Cálculo'!C76</f>
        <v>0.000508858447488585</v>
      </c>
      <c r="D97" s="44" t="n">
        <f aca="false">C97*$D$32</f>
        <v>0.359588291407223</v>
      </c>
      <c r="E97" s="53"/>
    </row>
    <row r="98" customFormat="false" ht="29.25" hidden="false" customHeight="false" outlineLevel="0" collapsed="false">
      <c r="A98" s="54" t="s">
        <v>102</v>
      </c>
      <c r="B98" s="95" t="s">
        <v>103</v>
      </c>
      <c r="C98" s="89" t="n">
        <f aca="false">'Memoria de Cálculo'!C77</f>
        <v>0.00669473891780822</v>
      </c>
      <c r="D98" s="44" t="n">
        <f aca="false">SUM(D90:D96)</f>
        <v>93.8525714846046</v>
      </c>
      <c r="E98" s="53"/>
    </row>
    <row r="99" customFormat="false" ht="15" hidden="false" customHeight="false" outlineLevel="0" collapsed="false">
      <c r="A99" s="46" t="s">
        <v>104</v>
      </c>
      <c r="B99" s="46"/>
      <c r="C99" s="93" t="n">
        <f aca="false">SUM(C90:C98)</f>
        <v>0.140015690972603</v>
      </c>
      <c r="D99" s="94" t="n">
        <f aca="false">SUM(D90:D98)</f>
        <v>188.064731260616</v>
      </c>
      <c r="E99" s="53"/>
    </row>
    <row r="100" customFormat="false" ht="15" hidden="false" customHeight="false" outlineLevel="0" collapsed="false">
      <c r="A100" s="96"/>
      <c r="B100" s="97"/>
      <c r="C100" s="98"/>
      <c r="D100" s="99"/>
      <c r="E100" s="53"/>
    </row>
    <row r="101" customFormat="false" ht="15" hidden="false" customHeight="false" outlineLevel="0" collapsed="false">
      <c r="A101" s="100"/>
      <c r="B101" s="101"/>
      <c r="C101" s="102"/>
      <c r="D101" s="103"/>
      <c r="E101" s="53"/>
    </row>
    <row r="102" customFormat="false" ht="15" hidden="false" customHeight="false" outlineLevel="0" collapsed="false">
      <c r="A102" s="54" t="s">
        <v>105</v>
      </c>
      <c r="B102" s="104"/>
      <c r="C102" s="41" t="s">
        <v>27</v>
      </c>
      <c r="D102" s="19" t="s">
        <v>28</v>
      </c>
      <c r="E102" s="53"/>
    </row>
    <row r="103" customFormat="false" ht="15" hidden="false" customHeight="false" outlineLevel="0" collapsed="false">
      <c r="A103" s="54" t="s">
        <v>3</v>
      </c>
      <c r="B103" s="95" t="s">
        <v>106</v>
      </c>
      <c r="C103" s="89" t="str">
        <f aca="false">'Memoria de Cálculo'!C90</f>
        <v>-</v>
      </c>
      <c r="D103" s="105" t="n">
        <v>0</v>
      </c>
      <c r="E103" s="53"/>
    </row>
    <row r="104" customFormat="false" ht="29.25" hidden="false" customHeight="false" outlineLevel="0" collapsed="false">
      <c r="A104" s="54" t="s">
        <v>5</v>
      </c>
      <c r="B104" s="95" t="s">
        <v>107</v>
      </c>
      <c r="C104" s="89" t="str">
        <f aca="false">'Memoria de Cálculo'!C91</f>
        <v>-</v>
      </c>
      <c r="D104" s="44" t="n">
        <v>0</v>
      </c>
      <c r="E104" s="53"/>
    </row>
    <row r="105" customFormat="false" ht="15" hidden="false" customHeight="false" outlineLevel="0" collapsed="false">
      <c r="A105" s="46" t="s">
        <v>108</v>
      </c>
      <c r="B105" s="46"/>
      <c r="C105" s="93" t="n">
        <f aca="false">SUM(C103)</f>
        <v>0</v>
      </c>
      <c r="D105" s="106" t="n">
        <f aca="false">SUM(D103)</f>
        <v>0</v>
      </c>
      <c r="E105" s="53"/>
    </row>
    <row r="106" customFormat="false" ht="15" hidden="false" customHeight="false" outlineLevel="0" collapsed="false">
      <c r="A106" s="81"/>
      <c r="B106" s="64"/>
      <c r="C106" s="65"/>
      <c r="D106" s="66"/>
      <c r="E106" s="53"/>
    </row>
    <row r="107" customFormat="false" ht="15" hidden="false" customHeight="false" outlineLevel="0" collapsed="false">
      <c r="A107" s="14" t="s">
        <v>109</v>
      </c>
      <c r="B107" s="14"/>
      <c r="C107" s="14"/>
      <c r="D107" s="14"/>
      <c r="E107" s="53"/>
    </row>
    <row r="108" customFormat="false" ht="15" hidden="false" customHeight="false" outlineLevel="0" collapsed="false">
      <c r="A108" s="39" t="s">
        <v>110</v>
      </c>
      <c r="B108" s="39"/>
      <c r="C108" s="58"/>
      <c r="D108" s="19" t="s">
        <v>28</v>
      </c>
      <c r="E108" s="53"/>
    </row>
    <row r="109" customFormat="false" ht="14.95" hidden="false" customHeight="false" outlineLevel="0" collapsed="false">
      <c r="A109" s="39" t="s">
        <v>111</v>
      </c>
      <c r="B109" s="42" t="s">
        <v>97</v>
      </c>
      <c r="C109" s="43"/>
      <c r="D109" s="44" t="n">
        <f aca="false">D99</f>
        <v>188.064731260616</v>
      </c>
      <c r="E109" s="53"/>
    </row>
    <row r="110" customFormat="false" ht="15" hidden="false" customHeight="false" outlineLevel="0" collapsed="false">
      <c r="A110" s="45" t="s">
        <v>112</v>
      </c>
      <c r="B110" s="42" t="s">
        <v>113</v>
      </c>
      <c r="C110" s="43"/>
      <c r="D110" s="44" t="n">
        <f aca="false">D105</f>
        <v>0</v>
      </c>
      <c r="E110" s="53"/>
    </row>
    <row r="111" customFormat="false" ht="15" hidden="false" customHeight="true" outlineLevel="0" collapsed="false">
      <c r="A111" s="107" t="s">
        <v>114</v>
      </c>
      <c r="B111" s="107"/>
      <c r="C111" s="93"/>
      <c r="D111" s="94" t="n">
        <f aca="false">SUM(D109:D110)</f>
        <v>188.064731260616</v>
      </c>
      <c r="E111" s="53"/>
    </row>
    <row r="112" customFormat="false" ht="15" hidden="false" customHeight="false" outlineLevel="0" collapsed="false">
      <c r="A112" s="81"/>
      <c r="B112" s="64"/>
      <c r="C112" s="65"/>
      <c r="D112" s="66"/>
      <c r="E112" s="53"/>
    </row>
    <row r="113" customFormat="false" ht="15" hidden="false" customHeight="false" outlineLevel="0" collapsed="false">
      <c r="A113" s="14" t="s">
        <v>115</v>
      </c>
      <c r="B113" s="14"/>
      <c r="C113" s="14"/>
      <c r="D113" s="14"/>
      <c r="E113" s="53"/>
    </row>
    <row r="114" customFormat="false" ht="15" hidden="false" customHeight="true" outlineLevel="0" collapsed="false">
      <c r="A114" s="108" t="s">
        <v>116</v>
      </c>
      <c r="B114" s="108"/>
      <c r="C114" s="41"/>
      <c r="D114" s="19" t="s">
        <v>28</v>
      </c>
      <c r="E114" s="53"/>
    </row>
    <row r="115" customFormat="false" ht="15" hidden="false" customHeight="false" outlineLevel="0" collapsed="false">
      <c r="A115" s="39" t="s">
        <v>3</v>
      </c>
      <c r="B115" s="42" t="s">
        <v>117</v>
      </c>
      <c r="C115" s="43"/>
      <c r="D115" s="44" t="n">
        <f aca="false">'Memoria de Cálculo'!C97</f>
        <v>34.83</v>
      </c>
      <c r="E115" s="53"/>
    </row>
    <row r="116" customFormat="false" ht="15" hidden="false" customHeight="false" outlineLevel="0" collapsed="false">
      <c r="A116" s="39" t="s">
        <v>5</v>
      </c>
      <c r="B116" s="42" t="s">
        <v>118</v>
      </c>
      <c r="C116" s="43"/>
      <c r="D116" s="44" t="n">
        <f aca="false">'Memoria de Cálculo'!I98</f>
        <v>356.67</v>
      </c>
      <c r="E116" s="53"/>
    </row>
    <row r="117" customFormat="false" ht="15" hidden="false" customHeight="false" outlineLevel="0" collapsed="false">
      <c r="A117" s="109" t="s">
        <v>8</v>
      </c>
      <c r="B117" s="42" t="s">
        <v>119</v>
      </c>
      <c r="C117" s="43"/>
      <c r="D117" s="44" t="n">
        <f aca="false">'Memoria de Cálculo'!I99</f>
        <v>117.66</v>
      </c>
      <c r="E117" s="53"/>
    </row>
    <row r="118" customFormat="false" ht="15" hidden="false" customHeight="false" outlineLevel="0" collapsed="false">
      <c r="A118" s="109" t="s">
        <v>11</v>
      </c>
      <c r="B118" s="42" t="s">
        <v>38</v>
      </c>
      <c r="C118" s="43"/>
      <c r="D118" s="44"/>
      <c r="E118" s="53"/>
    </row>
    <row r="119" customFormat="false" ht="15" hidden="false" customHeight="true" outlineLevel="0" collapsed="false">
      <c r="A119" s="107" t="s">
        <v>120</v>
      </c>
      <c r="B119" s="107"/>
      <c r="C119" s="93"/>
      <c r="D119" s="94" t="n">
        <f aca="false">SUM(D115:D118)</f>
        <v>509.16</v>
      </c>
      <c r="E119" s="53"/>
    </row>
    <row r="120" customFormat="false" ht="15" hidden="false" customHeight="false" outlineLevel="0" collapsed="false">
      <c r="A120" s="81"/>
      <c r="B120" s="64"/>
      <c r="C120" s="65"/>
      <c r="D120" s="66"/>
      <c r="E120" s="53"/>
    </row>
    <row r="121" customFormat="false" ht="15" hidden="false" customHeight="false" outlineLevel="0" collapsed="false">
      <c r="A121" s="110"/>
      <c r="B121" s="111" t="s">
        <v>121</v>
      </c>
      <c r="C121" s="112"/>
      <c r="D121" s="113" t="n">
        <f aca="false">D119+D111+D86+D67+D32</f>
        <v>2189.97615698031</v>
      </c>
      <c r="E121" s="53"/>
    </row>
    <row r="122" customFormat="false" ht="15" hidden="false" customHeight="false" outlineLevel="0" collapsed="false">
      <c r="A122" s="63"/>
      <c r="B122" s="64"/>
      <c r="C122" s="65"/>
      <c r="D122" s="66"/>
      <c r="E122" s="53"/>
    </row>
    <row r="123" customFormat="false" ht="15" hidden="false" customHeight="false" outlineLevel="0" collapsed="false">
      <c r="A123" s="14" t="s">
        <v>122</v>
      </c>
      <c r="B123" s="14"/>
      <c r="C123" s="14"/>
      <c r="D123" s="14"/>
      <c r="E123" s="53"/>
    </row>
    <row r="124" customFormat="false" ht="15" hidden="false" customHeight="false" outlineLevel="0" collapsed="false">
      <c r="A124" s="39" t="n">
        <v>6</v>
      </c>
      <c r="B124" s="40" t="s">
        <v>123</v>
      </c>
      <c r="C124" s="41" t="s">
        <v>27</v>
      </c>
      <c r="D124" s="19" t="s">
        <v>28</v>
      </c>
      <c r="E124" s="53"/>
    </row>
    <row r="125" customFormat="false" ht="15" hidden="false" customHeight="false" outlineLevel="0" collapsed="false">
      <c r="A125" s="39" t="s">
        <v>3</v>
      </c>
      <c r="B125" s="16" t="s">
        <v>124</v>
      </c>
      <c r="C125" s="43" t="n">
        <f aca="false">'Memoria de Cálculo'!C112</f>
        <v>0.03</v>
      </c>
      <c r="D125" s="44" t="n">
        <f aca="false">C125*D121</f>
        <v>65.6992847094094</v>
      </c>
      <c r="E125" s="53"/>
    </row>
    <row r="126" customFormat="false" ht="15" hidden="false" customHeight="false" outlineLevel="0" collapsed="false">
      <c r="A126" s="45" t="s">
        <v>5</v>
      </c>
      <c r="B126" s="16" t="s">
        <v>125</v>
      </c>
      <c r="C126" s="43" t="n">
        <f aca="false">'Memoria de Cálculo'!C113</f>
        <v>0.09</v>
      </c>
      <c r="D126" s="44" t="n">
        <f aca="false">(D125+D121)*C126</f>
        <v>203.010789752075</v>
      </c>
    </row>
    <row r="127" customFormat="false" ht="15" hidden="false" customHeight="false" outlineLevel="0" collapsed="false">
      <c r="A127" s="39" t="s">
        <v>8</v>
      </c>
      <c r="B127" s="40" t="s">
        <v>126</v>
      </c>
      <c r="C127" s="58"/>
      <c r="D127" s="114"/>
    </row>
    <row r="128" customFormat="false" ht="15" hidden="false" customHeight="false" outlineLevel="0" collapsed="false">
      <c r="A128" s="45"/>
      <c r="B128" s="16" t="s">
        <v>127</v>
      </c>
      <c r="C128" s="43" t="n">
        <f aca="false">'Memoria de Cálculo'!C115</f>
        <v>0.0925</v>
      </c>
      <c r="D128" s="44" t="n">
        <f aca="false">(($D$126+$D$125+$D$121)/(1-SUM($C$128:$C$130))*C128)</f>
        <v>265.222713012672</v>
      </c>
      <c r="F128" s="115"/>
    </row>
    <row r="129" customFormat="false" ht="15" hidden="false" customHeight="false" outlineLevel="0" collapsed="false">
      <c r="A129" s="45"/>
      <c r="B129" s="16" t="s">
        <v>128</v>
      </c>
      <c r="C129" s="43" t="n">
        <f aca="false">'Memoria de Cálculo'!C116</f>
        <v>0</v>
      </c>
      <c r="D129" s="44" t="n">
        <f aca="false">(($D$126+$D$125+$D$121)/(1-SUM($C$128:$C$130))*C129)</f>
        <v>0</v>
      </c>
      <c r="N129" s="53"/>
    </row>
    <row r="130" customFormat="false" ht="15" hidden="false" customHeight="false" outlineLevel="0" collapsed="false">
      <c r="A130" s="45"/>
      <c r="B130" s="16" t="s">
        <v>129</v>
      </c>
      <c r="C130" s="43" t="n">
        <f aca="false">'Memoria de Cálculo'!C117</f>
        <v>0.05</v>
      </c>
      <c r="D130" s="44" t="n">
        <f aca="false">(($D$126+$D$125+$D$121)/(1-SUM($C$128:$C$130))*C130)</f>
        <v>143.363628655498</v>
      </c>
      <c r="N130" s="53"/>
    </row>
    <row r="131" customFormat="false" ht="15" hidden="false" customHeight="false" outlineLevel="0" collapsed="false">
      <c r="A131" s="116" t="s">
        <v>130</v>
      </c>
      <c r="B131" s="116"/>
      <c r="C131" s="117" t="n">
        <f aca="false">SUM(C125:C130)</f>
        <v>0.2625</v>
      </c>
      <c r="D131" s="118" t="n">
        <f aca="false">SUM(D125:D130)</f>
        <v>677.296416129655</v>
      </c>
      <c r="N131" s="53"/>
    </row>
    <row r="132" customFormat="false" ht="15" hidden="false" customHeight="false" outlineLevel="0" collapsed="false">
      <c r="A132" s="22"/>
      <c r="B132" s="119"/>
      <c r="C132" s="98"/>
      <c r="D132" s="120"/>
      <c r="F132" s="115"/>
      <c r="N132" s="53"/>
    </row>
    <row r="133" customFormat="false" ht="15" hidden="false" customHeight="false" outlineLevel="0" collapsed="false">
      <c r="A133" s="22"/>
      <c r="B133" s="121"/>
      <c r="C133" s="122"/>
      <c r="D133" s="123"/>
      <c r="F133" s="115"/>
      <c r="N133" s="53"/>
    </row>
    <row r="134" customFormat="false" ht="15" hidden="false" customHeight="false" outlineLevel="0" collapsed="false">
      <c r="A134" s="14" t="s">
        <v>131</v>
      </c>
      <c r="B134" s="14"/>
      <c r="C134" s="14"/>
      <c r="D134" s="14"/>
      <c r="N134" s="53"/>
    </row>
    <row r="135" customFormat="false" ht="15" hidden="false" customHeight="false" outlineLevel="0" collapsed="false">
      <c r="A135" s="56" t="s">
        <v>132</v>
      </c>
      <c r="B135" s="124"/>
      <c r="C135" s="125"/>
      <c r="D135" s="19" t="s">
        <v>28</v>
      </c>
      <c r="F135" s="126"/>
      <c r="N135" s="53"/>
    </row>
    <row r="136" customFormat="false" ht="18" hidden="false" customHeight="true" outlineLevel="0" collapsed="false">
      <c r="A136" s="127" t="s">
        <v>3</v>
      </c>
      <c r="B136" s="128" t="str">
        <f aca="false">A23</f>
        <v>MÓDULO 1 - COMPOSIÇÃO DA REMUNERAÇÃO</v>
      </c>
      <c r="C136" s="17"/>
      <c r="D136" s="129" t="n">
        <f aca="false">D32</f>
        <v>706.656818181818</v>
      </c>
      <c r="N136" s="130"/>
    </row>
    <row r="137" customFormat="false" ht="28.5" hidden="false" customHeight="false" outlineLevel="0" collapsed="false">
      <c r="A137" s="131" t="s">
        <v>5</v>
      </c>
      <c r="B137" s="128" t="str">
        <f aca="false">A34</f>
        <v>MÓDULO 2 – ENCARGOS E BENEFÍCIOS ANUAIS, MENSAIS E DIÁRIOS</v>
      </c>
      <c r="C137" s="17"/>
      <c r="D137" s="132" t="n">
        <f aca="false">D67</f>
        <v>726.527363636364</v>
      </c>
      <c r="N137" s="133"/>
    </row>
    <row r="138" customFormat="false" ht="20.25" hidden="false" customHeight="true" outlineLevel="0" collapsed="false">
      <c r="A138" s="131" t="s">
        <v>8</v>
      </c>
      <c r="B138" s="128" t="str">
        <f aca="false">A69</f>
        <v>MÓDULO 3 – PROVISÃO PARA RESCISÃO</v>
      </c>
      <c r="C138" s="17"/>
      <c r="D138" s="132" t="n">
        <f aca="false">D86</f>
        <v>59.5672439015152</v>
      </c>
      <c r="N138" s="133"/>
    </row>
    <row r="139" customFormat="false" ht="33" hidden="false" customHeight="true" outlineLevel="0" collapsed="false">
      <c r="A139" s="127" t="s">
        <v>11</v>
      </c>
      <c r="B139" s="128" t="str">
        <f aca="false">A88</f>
        <v>MÓDULO 4 – CUSTO DE REPOSIÇÃO DO PROFISSIONAL AUSENTE</v>
      </c>
      <c r="C139" s="17"/>
      <c r="D139" s="132" t="n">
        <f aca="false">D111</f>
        <v>188.064731260616</v>
      </c>
      <c r="N139" s="133"/>
    </row>
    <row r="140" customFormat="false" ht="22.5" hidden="false" customHeight="true" outlineLevel="0" collapsed="false">
      <c r="A140" s="131" t="s">
        <v>33</v>
      </c>
      <c r="B140" s="128" t="str">
        <f aca="false">A113</f>
        <v>MÓDULO 5 – INSUMOS DIVERSOS</v>
      </c>
      <c r="C140" s="17"/>
      <c r="D140" s="132" t="n">
        <f aca="false">D119</f>
        <v>509.16</v>
      </c>
      <c r="N140" s="134"/>
    </row>
    <row r="141" customFormat="false" ht="23.25" hidden="false" customHeight="true" outlineLevel="0" collapsed="false">
      <c r="A141" s="135" t="s">
        <v>133</v>
      </c>
      <c r="B141" s="135"/>
      <c r="C141" s="135"/>
      <c r="D141" s="136" t="n">
        <f aca="false">SUM(D136:D140)</f>
        <v>2189.97615698031</v>
      </c>
      <c r="N141" s="53"/>
    </row>
    <row r="142" customFormat="false" ht="27.6" hidden="false" customHeight="true" outlineLevel="0" collapsed="false">
      <c r="A142" s="15" t="s">
        <v>35</v>
      </c>
      <c r="B142" s="16" t="str">
        <f aca="false">A123</f>
        <v>MÓDULO 6 – CUSTOS INDIRETOS, TRIBUTOS E LUCRO</v>
      </c>
      <c r="C142" s="17"/>
      <c r="D142" s="129" t="n">
        <f aca="false">D131</f>
        <v>677.296416129655</v>
      </c>
      <c r="N142" s="53"/>
    </row>
    <row r="143" customFormat="false" ht="21" hidden="false" customHeight="true" outlineLevel="0" collapsed="false">
      <c r="A143" s="137" t="s">
        <v>134</v>
      </c>
      <c r="B143" s="137"/>
      <c r="C143" s="137"/>
      <c r="D143" s="138" t="n">
        <f aca="false">ROUND(D142+D141,2)</f>
        <v>2867.27</v>
      </c>
      <c r="N143" s="53"/>
    </row>
    <row r="144" customFormat="false" ht="99.7" hidden="false" customHeight="true" outlineLevel="0" collapsed="false">
      <c r="N144" s="53"/>
    </row>
    <row r="145" customFormat="false" ht="18.75" hidden="false" customHeight="true" outlineLevel="0" collapsed="false">
      <c r="A145" s="139" t="s">
        <v>135</v>
      </c>
      <c r="B145" s="139"/>
      <c r="C145" s="139"/>
      <c r="D145" s="139"/>
      <c r="E145" s="139"/>
      <c r="F145" s="139"/>
      <c r="G145" s="139"/>
      <c r="N145" s="53"/>
    </row>
    <row r="146" customFormat="false" ht="78.6" hidden="false" customHeight="true" outlineLevel="0" collapsed="false">
      <c r="A146" s="140"/>
      <c r="B146" s="141" t="s">
        <v>136</v>
      </c>
      <c r="C146" s="142" t="s">
        <v>137</v>
      </c>
      <c r="D146" s="143" t="s">
        <v>138</v>
      </c>
      <c r="E146" s="142" t="s">
        <v>139</v>
      </c>
      <c r="F146" s="142" t="s">
        <v>140</v>
      </c>
      <c r="G146" s="144" t="s">
        <v>141</v>
      </c>
      <c r="N146" s="53"/>
    </row>
    <row r="147" customFormat="false" ht="47.25" hidden="false" customHeight="true" outlineLevel="0" collapsed="false">
      <c r="A147" s="140"/>
      <c r="B147" s="145" t="s">
        <v>142</v>
      </c>
      <c r="C147" s="146" t="n">
        <f aca="false">D143</f>
        <v>2867.27</v>
      </c>
      <c r="D147" s="147" t="n">
        <v>1</v>
      </c>
      <c r="E147" s="146" t="n">
        <f aca="false">C147*D147</f>
        <v>2867.27</v>
      </c>
      <c r="F147" s="148" t="n">
        <v>110</v>
      </c>
      <c r="G147" s="146" t="n">
        <f aca="false">F147*E147</f>
        <v>315399.7</v>
      </c>
    </row>
    <row r="148" customFormat="false" ht="16.5" hidden="false" customHeight="true" outlineLevel="0" collapsed="false">
      <c r="A148" s="30"/>
      <c r="B148" s="149"/>
      <c r="C148" s="150"/>
      <c r="D148" s="151" t="s">
        <v>143</v>
      </c>
      <c r="E148" s="151"/>
      <c r="F148" s="151"/>
      <c r="G148" s="152" t="n">
        <f aca="false">G147</f>
        <v>315399.7</v>
      </c>
    </row>
    <row r="149" customFormat="false" ht="13.9" hidden="false" customHeight="true" outlineLevel="0" collapsed="false"/>
    <row r="150" customFormat="false" ht="18" hidden="false" customHeight="true" outlineLevel="0" collapsed="false">
      <c r="A150" s="153" t="s">
        <v>144</v>
      </c>
      <c r="B150" s="153"/>
      <c r="C150" s="153"/>
      <c r="D150" s="154"/>
    </row>
    <row r="151" customFormat="false" ht="18" hidden="false" customHeight="true" outlineLevel="0" collapsed="false">
      <c r="A151" s="155" t="s">
        <v>145</v>
      </c>
      <c r="B151" s="155"/>
      <c r="C151" s="155"/>
      <c r="D151" s="156"/>
    </row>
    <row r="152" customFormat="false" ht="18" hidden="false" customHeight="true" outlineLevel="0" collapsed="false">
      <c r="A152" s="157"/>
      <c r="B152" s="158" t="s">
        <v>146</v>
      </c>
      <c r="C152" s="159" t="s">
        <v>147</v>
      </c>
      <c r="D152" s="156"/>
    </row>
    <row r="153" customFormat="false" ht="19.15" hidden="false" customHeight="true" outlineLevel="0" collapsed="false">
      <c r="A153" s="160" t="s">
        <v>3</v>
      </c>
      <c r="B153" s="161" t="s">
        <v>148</v>
      </c>
      <c r="C153" s="162" t="n">
        <f aca="false">E147</f>
        <v>2867.27</v>
      </c>
      <c r="D153" s="154"/>
    </row>
    <row r="154" customFormat="false" ht="18" hidden="false" customHeight="true" outlineLevel="0" collapsed="false">
      <c r="A154" s="163" t="s">
        <v>5</v>
      </c>
      <c r="B154" s="164" t="s">
        <v>149</v>
      </c>
      <c r="C154" s="165" t="n">
        <f aca="false">G147</f>
        <v>315399.7</v>
      </c>
      <c r="D154" s="154"/>
      <c r="E154" s="4"/>
    </row>
    <row r="155" customFormat="false" ht="32.25" hidden="false" customHeight="true" outlineLevel="0" collapsed="false">
      <c r="A155" s="166" t="s">
        <v>8</v>
      </c>
      <c r="B155" s="167" t="s">
        <v>150</v>
      </c>
      <c r="C155" s="168" t="n">
        <f aca="false">C154*12</f>
        <v>3784796.4</v>
      </c>
      <c r="D155" s="154"/>
    </row>
    <row r="156" customFormat="false" ht="14.25" hidden="false" customHeight="false" outlineLevel="0" collapsed="false">
      <c r="A156" s="169"/>
      <c r="D156" s="55"/>
    </row>
    <row r="157" customFormat="false" ht="15" hidden="false" customHeight="false" outlineLevel="0" collapsed="false">
      <c r="B157" s="170" t="s">
        <v>151</v>
      </c>
      <c r="C157" s="171" t="n">
        <f aca="false">C153/D19</f>
        <v>2.7664868828575</v>
      </c>
    </row>
    <row r="159" customFormat="false" ht="15" hidden="false" customHeight="false" outlineLevel="0" collapsed="false"/>
    <row r="160" customFormat="false" ht="15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4">
    <mergeCell ref="A2:B2"/>
    <mergeCell ref="C2:D2"/>
    <mergeCell ref="A4:D4"/>
    <mergeCell ref="A10:D10"/>
    <mergeCell ref="A16:D16"/>
    <mergeCell ref="A23:D23"/>
    <mergeCell ref="A32:B32"/>
    <mergeCell ref="A34:D34"/>
    <mergeCell ref="A35:B35"/>
    <mergeCell ref="A40:B40"/>
    <mergeCell ref="A42:B42"/>
    <mergeCell ref="A51:B51"/>
    <mergeCell ref="A53:B53"/>
    <mergeCell ref="A60:B60"/>
    <mergeCell ref="A62:D62"/>
    <mergeCell ref="A63:B63"/>
    <mergeCell ref="A67:B67"/>
    <mergeCell ref="A69:D69"/>
    <mergeCell ref="A70:B70"/>
    <mergeCell ref="A74:B74"/>
    <mergeCell ref="A76:B76"/>
    <mergeCell ref="A80:B80"/>
    <mergeCell ref="A82:D82"/>
    <mergeCell ref="A83:B83"/>
    <mergeCell ref="A86:B86"/>
    <mergeCell ref="A88:D88"/>
    <mergeCell ref="A89:B89"/>
    <mergeCell ref="A99:B99"/>
    <mergeCell ref="A105:B105"/>
    <mergeCell ref="A107:D107"/>
    <mergeCell ref="A108:B108"/>
    <mergeCell ref="A111:B111"/>
    <mergeCell ref="A113:D113"/>
    <mergeCell ref="A114:B114"/>
    <mergeCell ref="A119:B119"/>
    <mergeCell ref="A123:D123"/>
    <mergeCell ref="A131:B131"/>
    <mergeCell ref="A134:D134"/>
    <mergeCell ref="A141:C141"/>
    <mergeCell ref="A143:C143"/>
    <mergeCell ref="A145:G145"/>
    <mergeCell ref="D148:F148"/>
    <mergeCell ref="A150:C150"/>
    <mergeCell ref="A151:C151"/>
  </mergeCells>
  <printOptions headings="false" gridLines="false" gridLinesSet="true" horizontalCentered="true" verticalCentered="false"/>
  <pageMargins left="0.39375" right="0.39375" top="0.39375" bottom="0.39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2" manualBreakCount="2">
    <brk id="60" man="true" max="16383" min="0"/>
    <brk id="119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F120"/>
  <sheetViews>
    <sheetView showFormulas="false" showGridLines="true" showRowColHeaders="true" showZeros="true" rightToLeft="false" tabSelected="false" showOutlineSymbols="true" defaultGridColor="true" view="pageBreakPreview" topLeftCell="A82" colorId="64" zoomScale="100" zoomScaleNormal="70" zoomScalePageLayoutView="100" workbookViewId="0">
      <selection pane="topLeft" activeCell="L101" activeCellId="0" sqref="L101"/>
    </sheetView>
  </sheetViews>
  <sheetFormatPr defaultRowHeight="15"/>
  <cols>
    <col collapsed="false" hidden="false" max="1" min="1" style="172" width="3.91326530612245"/>
    <col collapsed="false" hidden="false" max="2" min="2" style="172" width="100.301020408163"/>
    <col collapsed="false" hidden="false" max="3" min="3" style="172" width="26.1887755102041"/>
    <col collapsed="false" hidden="false" max="4" min="4" style="172" width="50.6224489795918"/>
    <col collapsed="false" hidden="false" max="5" min="5" style="172" width="69.7908163265306"/>
    <col collapsed="false" hidden="false" max="9" min="6" style="172" width="15.5255102040816"/>
    <col collapsed="false" hidden="false" max="10" min="10" style="172" width="4.99489795918367"/>
    <col collapsed="false" hidden="false" max="11" min="11" style="172" width="19.5714285714286"/>
    <col collapsed="false" hidden="false" max="12" min="12" style="172" width="14.8469387755102"/>
    <col collapsed="false" hidden="false" max="13" min="13" style="172" width="13.2295918367347"/>
    <col collapsed="false" hidden="false" max="14" min="14" style="172" width="15.6581632653061"/>
    <col collapsed="false" hidden="false" max="1025" min="15" style="172" width="9.04591836734694"/>
  </cols>
  <sheetData>
    <row r="1" customFormat="false" ht="15.75" hidden="false" customHeight="false" outlineLevel="0" collapsed="false">
      <c r="B1" s="173" t="s">
        <v>152</v>
      </c>
      <c r="D1" s="174"/>
    </row>
    <row r="2" customFormat="false" ht="16.5" hidden="false" customHeight="true" outlineLevel="0" collapsed="false">
      <c r="A2" s="175" t="s">
        <v>153</v>
      </c>
      <c r="B2" s="175"/>
      <c r="C2" s="175"/>
      <c r="D2" s="176"/>
    </row>
    <row r="3" customFormat="false" ht="16.5" hidden="false" customHeight="true" outlineLevel="0" collapsed="false">
      <c r="A3" s="175" t="s">
        <v>154</v>
      </c>
      <c r="B3" s="175"/>
      <c r="C3" s="177" t="s">
        <v>147</v>
      </c>
      <c r="D3" s="178"/>
    </row>
    <row r="4" customFormat="false" ht="15.75" hidden="false" customHeight="true" outlineLevel="0" collapsed="false">
      <c r="A4" s="179" t="s">
        <v>155</v>
      </c>
      <c r="B4" s="179"/>
      <c r="C4" s="180" t="n">
        <v>1036.43</v>
      </c>
    </row>
    <row r="5" customFormat="false" ht="15" hidden="false" customHeight="false" outlineLevel="0" collapsed="false">
      <c r="D5" s="174"/>
    </row>
    <row r="6" customFormat="false" ht="39.75" hidden="false" customHeight="true" outlineLevel="0" collapsed="false">
      <c r="B6" s="173" t="s">
        <v>152</v>
      </c>
      <c r="D6" s="174"/>
    </row>
    <row r="7" customFormat="false" ht="16.5" hidden="false" customHeight="true" outlineLevel="0" collapsed="false">
      <c r="A7" s="175" t="s">
        <v>156</v>
      </c>
      <c r="B7" s="175"/>
      <c r="C7" s="175"/>
      <c r="D7" s="176"/>
    </row>
    <row r="8" customFormat="false" ht="15.75" hidden="false" customHeight="true" outlineLevel="0" collapsed="false">
      <c r="A8" s="175" t="s">
        <v>154</v>
      </c>
      <c r="B8" s="175"/>
      <c r="C8" s="181" t="s">
        <v>147</v>
      </c>
      <c r="D8" s="178"/>
    </row>
    <row r="9" customFormat="false" ht="15.75" hidden="false" customHeight="true" outlineLevel="0" collapsed="false">
      <c r="A9" s="179" t="s">
        <v>155</v>
      </c>
      <c r="B9" s="179"/>
      <c r="C9" s="180" t="n">
        <v>0</v>
      </c>
      <c r="D9" s="182"/>
    </row>
    <row r="12" customFormat="false" ht="15" hidden="false" customHeight="false" outlineLevel="0" collapsed="false">
      <c r="B12" s="173" t="s">
        <v>157</v>
      </c>
    </row>
    <row r="13" customFormat="false" ht="15.75" hidden="false" customHeight="false" outlineLevel="0" collapsed="false">
      <c r="B13" s="173" t="s">
        <v>158</v>
      </c>
    </row>
    <row r="14" customFormat="false" ht="18" hidden="false" customHeight="true" outlineLevel="0" collapsed="false">
      <c r="A14" s="183"/>
      <c r="B14" s="181" t="s">
        <v>159</v>
      </c>
      <c r="C14" s="184" t="s">
        <v>27</v>
      </c>
      <c r="D14" s="185" t="s">
        <v>160</v>
      </c>
      <c r="E14" s="185" t="s">
        <v>161</v>
      </c>
    </row>
    <row r="15" customFormat="false" ht="30.75" hidden="false" customHeight="false" outlineLevel="0" collapsed="false">
      <c r="A15" s="186" t="s">
        <v>3</v>
      </c>
      <c r="B15" s="187" t="s">
        <v>162</v>
      </c>
      <c r="C15" s="188" t="n">
        <f aca="false">1/12</f>
        <v>0.0833333333333333</v>
      </c>
      <c r="D15" s="189" t="s">
        <v>163</v>
      </c>
      <c r="E15" s="189" t="s">
        <v>164</v>
      </c>
    </row>
    <row r="16" customFormat="false" ht="35.25" hidden="false" customHeight="true" outlineLevel="0" collapsed="false">
      <c r="A16" s="186" t="s">
        <v>5</v>
      </c>
      <c r="B16" s="187" t="s">
        <v>165</v>
      </c>
      <c r="C16" s="190" t="n">
        <f aca="false">C15/3</f>
        <v>0.0277777777777778</v>
      </c>
      <c r="D16" s="191" t="s">
        <v>166</v>
      </c>
      <c r="E16" s="191" t="s">
        <v>167</v>
      </c>
    </row>
    <row r="17" customFormat="false" ht="15.75" hidden="false" customHeight="false" outlineLevel="0" collapsed="false">
      <c r="A17" s="192"/>
      <c r="B17" s="193" t="s">
        <v>168</v>
      </c>
      <c r="C17" s="190" t="n">
        <f aca="false">C16+C15</f>
        <v>0.111111111111111</v>
      </c>
      <c r="D17" s="194"/>
      <c r="E17" s="195"/>
    </row>
    <row r="18" customFormat="false" ht="15.75" hidden="false" customHeight="false" outlineLevel="0" collapsed="false">
      <c r="A18" s="192"/>
      <c r="B18" s="193" t="s">
        <v>169</v>
      </c>
      <c r="C18" s="190" t="n">
        <f aca="false">C30*C17</f>
        <v>0.0442222222222222</v>
      </c>
      <c r="D18" s="194"/>
      <c r="E18" s="195"/>
    </row>
    <row r="19" customFormat="false" ht="15" hidden="false" customHeight="false" outlineLevel="0" collapsed="false">
      <c r="B19" s="173"/>
    </row>
    <row r="20" customFormat="false" ht="43.5" hidden="false" customHeight="false" outlineLevel="0" collapsed="false">
      <c r="B20" s="173" t="s">
        <v>170</v>
      </c>
    </row>
    <row r="21" customFormat="false" ht="15.75" hidden="false" customHeight="false" outlineLevel="0" collapsed="false">
      <c r="A21" s="183"/>
      <c r="B21" s="181" t="s">
        <v>159</v>
      </c>
      <c r="C21" s="181" t="s">
        <v>27</v>
      </c>
      <c r="D21" s="181" t="s">
        <v>171</v>
      </c>
      <c r="E21" s="181" t="s">
        <v>161</v>
      </c>
    </row>
    <row r="22" customFormat="false" ht="15.75" hidden="false" customHeight="false" outlineLevel="0" collapsed="false">
      <c r="A22" s="186" t="s">
        <v>3</v>
      </c>
      <c r="B22" s="187" t="s">
        <v>172</v>
      </c>
      <c r="C22" s="196" t="n">
        <v>0.2</v>
      </c>
      <c r="D22" s="197" t="s">
        <v>173</v>
      </c>
      <c r="E22" s="195" t="s">
        <v>174</v>
      </c>
    </row>
    <row r="23" customFormat="false" ht="15.75" hidden="false" customHeight="false" outlineLevel="0" collapsed="false">
      <c r="A23" s="186" t="s">
        <v>5</v>
      </c>
      <c r="B23" s="187" t="s">
        <v>175</v>
      </c>
      <c r="C23" s="196" t="n">
        <v>0.025</v>
      </c>
      <c r="D23" s="197" t="s">
        <v>173</v>
      </c>
      <c r="E23" s="195" t="s">
        <v>176</v>
      </c>
    </row>
    <row r="24" customFormat="false" ht="15.75" hidden="false" customHeight="false" outlineLevel="0" collapsed="false">
      <c r="A24" s="186" t="s">
        <v>8</v>
      </c>
      <c r="B24" s="187" t="s">
        <v>177</v>
      </c>
      <c r="C24" s="196" t="n">
        <v>0.06</v>
      </c>
      <c r="D24" s="197" t="s">
        <v>173</v>
      </c>
      <c r="E24" s="195"/>
    </row>
    <row r="25" customFormat="false" ht="15.75" hidden="false" customHeight="false" outlineLevel="0" collapsed="false">
      <c r="A25" s="186" t="s">
        <v>11</v>
      </c>
      <c r="B25" s="187" t="s">
        <v>51</v>
      </c>
      <c r="C25" s="196" t="n">
        <v>0.015</v>
      </c>
      <c r="D25" s="197" t="s">
        <v>173</v>
      </c>
      <c r="E25" s="195" t="s">
        <v>178</v>
      </c>
    </row>
    <row r="26" customFormat="false" ht="15.75" hidden="false" customHeight="false" outlineLevel="0" collapsed="false">
      <c r="A26" s="186" t="s">
        <v>33</v>
      </c>
      <c r="B26" s="187" t="s">
        <v>179</v>
      </c>
      <c r="C26" s="196" t="n">
        <v>0.01</v>
      </c>
      <c r="D26" s="197" t="s">
        <v>173</v>
      </c>
      <c r="E26" s="195" t="s">
        <v>180</v>
      </c>
    </row>
    <row r="27" customFormat="false" ht="15.75" hidden="false" customHeight="false" outlineLevel="0" collapsed="false">
      <c r="A27" s="186" t="s">
        <v>35</v>
      </c>
      <c r="B27" s="187" t="s">
        <v>181</v>
      </c>
      <c r="C27" s="196" t="n">
        <v>0.006</v>
      </c>
      <c r="D27" s="197" t="s">
        <v>173</v>
      </c>
      <c r="E27" s="195" t="s">
        <v>182</v>
      </c>
    </row>
    <row r="28" customFormat="false" ht="15.75" hidden="false" customHeight="false" outlineLevel="0" collapsed="false">
      <c r="A28" s="186" t="s">
        <v>37</v>
      </c>
      <c r="B28" s="187" t="s">
        <v>183</v>
      </c>
      <c r="C28" s="196" t="n">
        <v>0.002</v>
      </c>
      <c r="D28" s="197"/>
      <c r="E28" s="195" t="s">
        <v>184</v>
      </c>
    </row>
    <row r="29" customFormat="false" ht="15.75" hidden="false" customHeight="false" outlineLevel="0" collapsed="false">
      <c r="A29" s="186" t="s">
        <v>55</v>
      </c>
      <c r="B29" s="187" t="s">
        <v>185</v>
      </c>
      <c r="C29" s="196" t="n">
        <v>0.08</v>
      </c>
      <c r="D29" s="197" t="s">
        <v>173</v>
      </c>
      <c r="E29" s="195" t="s">
        <v>186</v>
      </c>
    </row>
    <row r="30" customFormat="false" ht="15.75" hidden="false" customHeight="false" outlineLevel="0" collapsed="false">
      <c r="A30" s="192"/>
      <c r="B30" s="198" t="s">
        <v>187</v>
      </c>
      <c r="C30" s="199" t="n">
        <v>0.398</v>
      </c>
    </row>
    <row r="31" customFormat="false" ht="71.25" hidden="false" customHeight="true" outlineLevel="0" collapsed="false">
      <c r="B31" s="200" t="s">
        <v>188</v>
      </c>
      <c r="C31" s="200"/>
      <c r="D31" s="200"/>
      <c r="E31" s="200"/>
    </row>
    <row r="32" customFormat="false" ht="34.5" hidden="false" customHeight="true" outlineLevel="0" collapsed="false">
      <c r="B32" s="200" t="s">
        <v>189</v>
      </c>
      <c r="C32" s="200"/>
      <c r="D32" s="200"/>
      <c r="E32" s="200"/>
      <c r="F32" s="201"/>
      <c r="G32" s="201"/>
      <c r="H32" s="201"/>
      <c r="I32" s="201"/>
      <c r="J32" s="201"/>
      <c r="K32" s="201"/>
      <c r="L32" s="201"/>
      <c r="M32" s="201"/>
      <c r="N32" s="201"/>
    </row>
    <row r="33" customFormat="false" ht="15.75" hidden="false" customHeight="true" outlineLevel="0" collapsed="false">
      <c r="B33" s="173"/>
      <c r="F33" s="202" t="s">
        <v>190</v>
      </c>
      <c r="G33" s="202"/>
      <c r="H33" s="202"/>
      <c r="I33" s="202"/>
      <c r="J33" s="202"/>
      <c r="K33" s="202"/>
      <c r="L33" s="202"/>
      <c r="M33" s="202"/>
      <c r="N33" s="202"/>
    </row>
    <row r="34" customFormat="false" ht="15.75" hidden="false" customHeight="true" outlineLevel="0" collapsed="false">
      <c r="B34" s="173" t="s">
        <v>191</v>
      </c>
      <c r="F34" s="203" t="s">
        <v>192</v>
      </c>
      <c r="G34" s="203"/>
      <c r="H34" s="203"/>
      <c r="I34" s="203"/>
      <c r="J34" s="204"/>
      <c r="K34" s="203" t="s">
        <v>156</v>
      </c>
      <c r="L34" s="203"/>
      <c r="M34" s="203"/>
      <c r="N34" s="203"/>
    </row>
    <row r="35" customFormat="false" ht="15.75" hidden="false" customHeight="true" outlineLevel="0" collapsed="false">
      <c r="A35" s="205"/>
      <c r="B35" s="181" t="s">
        <v>159</v>
      </c>
      <c r="C35" s="181" t="s">
        <v>171</v>
      </c>
      <c r="D35" s="181"/>
      <c r="E35" s="206" t="s">
        <v>161</v>
      </c>
      <c r="F35" s="207" t="s">
        <v>193</v>
      </c>
      <c r="G35" s="207" t="s">
        <v>194</v>
      </c>
      <c r="H35" s="207" t="s">
        <v>195</v>
      </c>
      <c r="I35" s="207" t="s">
        <v>196</v>
      </c>
      <c r="J35" s="204"/>
      <c r="K35" s="208"/>
      <c r="L35" s="208"/>
      <c r="M35" s="208"/>
      <c r="N35" s="208" t="s">
        <v>196</v>
      </c>
    </row>
    <row r="36" customFormat="false" ht="105" hidden="false" customHeight="true" outlineLevel="0" collapsed="false">
      <c r="A36" s="209" t="s">
        <v>3</v>
      </c>
      <c r="B36" s="187" t="s">
        <v>197</v>
      </c>
      <c r="C36" s="210" t="s">
        <v>198</v>
      </c>
      <c r="D36" s="210"/>
      <c r="E36" s="211" t="s">
        <v>199</v>
      </c>
      <c r="F36" s="212"/>
      <c r="G36" s="212"/>
      <c r="H36" s="212"/>
      <c r="I36" s="213" t="n">
        <f aca="false">ROUND(SUM(F36:H36)/3,2)</f>
        <v>0</v>
      </c>
      <c r="J36" s="214"/>
      <c r="K36" s="212"/>
      <c r="L36" s="212"/>
      <c r="M36" s="212"/>
      <c r="N36" s="212"/>
    </row>
    <row r="37" customFormat="false" ht="45.75" hidden="false" customHeight="false" outlineLevel="0" collapsed="false">
      <c r="A37" s="209" t="s">
        <v>5</v>
      </c>
      <c r="B37" s="187" t="s">
        <v>60</v>
      </c>
      <c r="C37" s="215" t="n">
        <f aca="false">316.06/2</f>
        <v>158.03</v>
      </c>
      <c r="D37" s="215"/>
      <c r="E37" s="211" t="s">
        <v>200</v>
      </c>
      <c r="F37" s="216"/>
      <c r="G37" s="216"/>
      <c r="H37" s="216"/>
      <c r="I37" s="216"/>
      <c r="J37" s="217"/>
      <c r="K37" s="216"/>
      <c r="L37" s="216"/>
      <c r="M37" s="216"/>
      <c r="N37" s="216"/>
    </row>
    <row r="38" customFormat="false" ht="81.75" hidden="false" customHeight="true" outlineLevel="0" collapsed="false">
      <c r="A38" s="218" t="s">
        <v>8</v>
      </c>
      <c r="B38" s="219" t="s">
        <v>61</v>
      </c>
      <c r="C38" s="180" t="n">
        <f aca="false">I38</f>
        <v>45.13</v>
      </c>
      <c r="D38" s="180"/>
      <c r="E38" s="220" t="s">
        <v>201</v>
      </c>
      <c r="F38" s="221" t="n">
        <v>39.4</v>
      </c>
      <c r="G38" s="221" t="n">
        <v>40</v>
      </c>
      <c r="H38" s="221" t="n">
        <v>56</v>
      </c>
      <c r="I38" s="222" t="n">
        <f aca="false">ROUND(SUM(F38:H38)/3,2)</f>
        <v>45.13</v>
      </c>
      <c r="J38" s="223"/>
      <c r="K38" s="224"/>
      <c r="L38" s="224"/>
      <c r="M38" s="224"/>
      <c r="N38" s="213" t="n">
        <f aca="false">ROUND(SUM(K38:M38)/3,2)</f>
        <v>0</v>
      </c>
    </row>
    <row r="39" customFormat="false" ht="15.75" hidden="false" customHeight="false" outlineLevel="0" collapsed="false">
      <c r="A39" s="218" t="s">
        <v>11</v>
      </c>
      <c r="B39" s="219" t="s">
        <v>62</v>
      </c>
      <c r="C39" s="225"/>
      <c r="D39" s="225"/>
      <c r="E39" s="226"/>
      <c r="F39" s="213"/>
      <c r="G39" s="213"/>
      <c r="H39" s="213"/>
      <c r="I39" s="213"/>
      <c r="J39" s="223"/>
      <c r="K39" s="227"/>
      <c r="L39" s="228"/>
      <c r="M39" s="228"/>
      <c r="N39" s="213"/>
    </row>
    <row r="40" customFormat="false" ht="30.75" hidden="false" customHeight="false" outlineLevel="0" collapsed="false">
      <c r="A40" s="218" t="s">
        <v>33</v>
      </c>
      <c r="B40" s="219" t="s">
        <v>63</v>
      </c>
      <c r="C40" s="180" t="n">
        <f aca="false">I40</f>
        <v>5.35</v>
      </c>
      <c r="D40" s="180"/>
      <c r="E40" s="229" t="s">
        <v>202</v>
      </c>
      <c r="F40" s="221" t="n">
        <v>2</v>
      </c>
      <c r="G40" s="221" t="n">
        <v>4</v>
      </c>
      <c r="H40" s="221" t="n">
        <v>10.06</v>
      </c>
      <c r="I40" s="222" t="n">
        <f aca="false">ROUND(SUM(F40:H40)/3,2)</f>
        <v>5.35</v>
      </c>
      <c r="J40" s="223"/>
      <c r="K40" s="224"/>
      <c r="L40" s="224"/>
      <c r="M40" s="224"/>
      <c r="N40" s="213" t="n">
        <f aca="false">ROUND(SUM(K40:M40)/3,2)</f>
        <v>0</v>
      </c>
    </row>
    <row r="41" customFormat="false" ht="15.75" hidden="false" customHeight="false" outlineLevel="0" collapsed="false">
      <c r="A41" s="209" t="s">
        <v>35</v>
      </c>
      <c r="B41" s="187" t="s">
        <v>38</v>
      </c>
      <c r="C41" s="210"/>
      <c r="D41" s="210"/>
      <c r="E41" s="230"/>
    </row>
    <row r="42" customFormat="false" ht="15" hidden="false" customHeight="false" outlineLevel="0" collapsed="false">
      <c r="B42" s="173"/>
    </row>
    <row r="43" customFormat="false" ht="15" hidden="false" customHeight="false" outlineLevel="0" collapsed="false">
      <c r="B43" s="173" t="s">
        <v>203</v>
      </c>
    </row>
    <row r="44" customFormat="false" ht="15.75" hidden="false" customHeight="false" outlineLevel="0" collapsed="false">
      <c r="B44" s="173" t="s">
        <v>204</v>
      </c>
    </row>
    <row r="45" customFormat="false" ht="18" hidden="false" customHeight="true" outlineLevel="0" collapsed="false">
      <c r="A45" s="205"/>
      <c r="B45" s="181" t="s">
        <v>159</v>
      </c>
      <c r="C45" s="175" t="s">
        <v>27</v>
      </c>
      <c r="D45" s="231" t="s">
        <v>160</v>
      </c>
      <c r="E45" s="231" t="s">
        <v>161</v>
      </c>
    </row>
    <row r="46" customFormat="false" ht="17.25" hidden="false" customHeight="false" outlineLevel="0" collapsed="false">
      <c r="A46" s="232" t="s">
        <v>3</v>
      </c>
      <c r="B46" s="233" t="s">
        <v>205</v>
      </c>
      <c r="C46" s="196" t="n">
        <f aca="false">1/12*0.1</f>
        <v>0.00833333333333333</v>
      </c>
      <c r="D46" s="195" t="s">
        <v>206</v>
      </c>
      <c r="E46" s="195" t="s">
        <v>207</v>
      </c>
    </row>
    <row r="47" customFormat="false" ht="38.45" hidden="false" customHeight="true" outlineLevel="0" collapsed="false">
      <c r="A47" s="209" t="s">
        <v>5</v>
      </c>
      <c r="B47" s="187" t="s">
        <v>77</v>
      </c>
      <c r="C47" s="196" t="n">
        <f aca="false">C46*0.08</f>
        <v>0.000666666666666667</v>
      </c>
      <c r="D47" s="234" t="s">
        <v>208</v>
      </c>
      <c r="E47" s="194" t="s">
        <v>209</v>
      </c>
    </row>
    <row r="48" customFormat="false" ht="30.75" hidden="false" customHeight="false" outlineLevel="0" collapsed="false">
      <c r="A48" s="209" t="s">
        <v>8</v>
      </c>
      <c r="B48" s="187" t="s">
        <v>210</v>
      </c>
      <c r="C48" s="196" t="n">
        <f aca="false">0.08*0.5*0.1*(1+(1/12)+(1/12)+((1/3)*(1/12))+(1/12))</f>
        <v>0.00511111111111111</v>
      </c>
      <c r="D48" s="235" t="s">
        <v>211</v>
      </c>
      <c r="E48" s="195" t="s">
        <v>212</v>
      </c>
      <c r="H48" s="236"/>
    </row>
    <row r="49" customFormat="false" ht="15.75" hidden="false" customHeight="false" outlineLevel="0" collapsed="false">
      <c r="A49" s="209"/>
      <c r="B49" s="193" t="s">
        <v>213</v>
      </c>
      <c r="C49" s="196"/>
      <c r="D49" s="197"/>
      <c r="E49" s="195"/>
    </row>
    <row r="50" customFormat="false" ht="15" hidden="false" customHeight="false" outlineLevel="0" collapsed="false">
      <c r="A50" s="237"/>
      <c r="B50" s="238"/>
      <c r="C50" s="239"/>
      <c r="D50" s="240"/>
      <c r="E50" s="241"/>
      <c r="H50" s="242"/>
    </row>
    <row r="51" customFormat="false" ht="54.75" hidden="false" customHeight="true" outlineLevel="0" collapsed="false">
      <c r="A51" s="237"/>
      <c r="B51" s="243" t="s">
        <v>214</v>
      </c>
      <c r="C51" s="243"/>
      <c r="D51" s="243"/>
      <c r="E51" s="243"/>
    </row>
    <row r="52" customFormat="false" ht="65.45" hidden="false" customHeight="true" outlineLevel="0" collapsed="false">
      <c r="A52" s="237"/>
      <c r="B52" s="243" t="s">
        <v>215</v>
      </c>
      <c r="C52" s="243"/>
      <c r="D52" s="243"/>
      <c r="E52" s="243"/>
    </row>
    <row r="53" customFormat="false" ht="15" hidden="false" customHeight="false" outlineLevel="0" collapsed="false">
      <c r="B53" s="173"/>
    </row>
    <row r="54" customFormat="false" ht="15.75" hidden="false" customHeight="false" outlineLevel="0" collapsed="false">
      <c r="B54" s="173" t="s">
        <v>216</v>
      </c>
    </row>
    <row r="55" customFormat="false" ht="15.75" hidden="false" customHeight="false" outlineLevel="0" collapsed="false">
      <c r="A55" s="205"/>
      <c r="B55" s="181" t="s">
        <v>159</v>
      </c>
      <c r="C55" s="175" t="s">
        <v>27</v>
      </c>
      <c r="D55" s="231" t="s">
        <v>160</v>
      </c>
      <c r="E55" s="231" t="s">
        <v>161</v>
      </c>
    </row>
    <row r="56" customFormat="false" ht="17.25" hidden="false" customHeight="false" outlineLevel="0" collapsed="false">
      <c r="A56" s="209" t="s">
        <v>3</v>
      </c>
      <c r="B56" s="198" t="s">
        <v>217</v>
      </c>
      <c r="C56" s="196" t="n">
        <f aca="false">((7/30)/12)</f>
        <v>0.0194444444444444</v>
      </c>
      <c r="D56" s="195" t="s">
        <v>218</v>
      </c>
      <c r="E56" s="244" t="s">
        <v>219</v>
      </c>
    </row>
    <row r="57" customFormat="false" ht="15.75" hidden="false" customHeight="false" outlineLevel="0" collapsed="false">
      <c r="A57" s="209" t="s">
        <v>5</v>
      </c>
      <c r="B57" s="198" t="s">
        <v>82</v>
      </c>
      <c r="C57" s="196" t="n">
        <f aca="false">C56*C30</f>
        <v>0.00773888888888889</v>
      </c>
      <c r="D57" s="191" t="s">
        <v>220</v>
      </c>
      <c r="E57" s="195"/>
    </row>
    <row r="58" customFormat="false" ht="17.25" hidden="false" customHeight="false" outlineLevel="0" collapsed="false">
      <c r="A58" s="209" t="s">
        <v>8</v>
      </c>
      <c r="B58" s="198" t="s">
        <v>221</v>
      </c>
      <c r="C58" s="245" t="n">
        <f aca="false">0.08*0.5*0.9*(1+(1/12)+(1/12+1/3*1/12))</f>
        <v>0.043</v>
      </c>
      <c r="D58" s="246" t="s">
        <v>222</v>
      </c>
      <c r="E58" s="247" t="s">
        <v>223</v>
      </c>
    </row>
    <row r="59" customFormat="false" ht="15.75" hidden="false" customHeight="false" outlineLevel="0" collapsed="false">
      <c r="A59" s="192"/>
      <c r="B59" s="198" t="s">
        <v>224</v>
      </c>
      <c r="C59" s="199"/>
      <c r="D59" s="248"/>
      <c r="E59" s="249"/>
    </row>
    <row r="60" customFormat="false" ht="15" hidden="false" customHeight="false" outlineLevel="0" collapsed="false">
      <c r="A60" s="250"/>
      <c r="B60" s="238"/>
      <c r="C60" s="251"/>
      <c r="D60" s="252"/>
      <c r="E60" s="248"/>
    </row>
    <row r="61" customFormat="false" ht="44.45" hidden="false" customHeight="true" outlineLevel="0" collapsed="false">
      <c r="A61" s="250"/>
      <c r="B61" s="243" t="s">
        <v>225</v>
      </c>
      <c r="C61" s="243"/>
      <c r="D61" s="243"/>
      <c r="E61" s="243"/>
    </row>
    <row r="62" customFormat="false" ht="34.9" hidden="false" customHeight="true" outlineLevel="0" collapsed="false">
      <c r="A62" s="250"/>
      <c r="B62" s="243" t="s">
        <v>226</v>
      </c>
      <c r="C62" s="243"/>
      <c r="D62" s="243"/>
      <c r="E62" s="243"/>
    </row>
    <row r="63" customFormat="false" ht="15" hidden="false" customHeight="false" outlineLevel="0" collapsed="false">
      <c r="A63" s="250"/>
      <c r="B63" s="238"/>
      <c r="C63" s="251"/>
      <c r="D63" s="248"/>
      <c r="E63" s="248"/>
    </row>
    <row r="64" customFormat="false" ht="15" hidden="false" customHeight="false" outlineLevel="0" collapsed="false">
      <c r="A64" s="250"/>
      <c r="B64" s="238"/>
      <c r="C64" s="251"/>
      <c r="D64" s="248"/>
      <c r="E64" s="248"/>
    </row>
    <row r="65" s="253" customFormat="true" ht="15" hidden="false" customHeight="false" outlineLevel="0" collapsed="false">
      <c r="A65" s="172"/>
      <c r="B65" s="173" t="s">
        <v>227</v>
      </c>
      <c r="C65" s="241"/>
      <c r="D65" s="241"/>
      <c r="E65" s="241"/>
      <c r="F65" s="172"/>
      <c r="J65" s="172"/>
      <c r="O65" s="172"/>
      <c r="T65" s="172"/>
      <c r="Y65" s="172"/>
      <c r="AD65" s="172"/>
      <c r="AI65" s="172"/>
      <c r="AN65" s="172"/>
      <c r="AS65" s="172"/>
      <c r="AX65" s="172"/>
      <c r="BC65" s="172"/>
      <c r="BH65" s="172"/>
      <c r="BM65" s="172"/>
      <c r="BR65" s="172"/>
      <c r="BW65" s="172"/>
      <c r="CB65" s="172"/>
      <c r="CG65" s="172"/>
      <c r="CL65" s="172"/>
      <c r="CQ65" s="172"/>
      <c r="CV65" s="172"/>
      <c r="DA65" s="172"/>
      <c r="DF65" s="172"/>
      <c r="DK65" s="172"/>
      <c r="DP65" s="172"/>
      <c r="DU65" s="172"/>
      <c r="DZ65" s="172"/>
      <c r="EE65" s="172"/>
      <c r="EJ65" s="172"/>
      <c r="EO65" s="172"/>
      <c r="ET65" s="172"/>
      <c r="EY65" s="172"/>
      <c r="FD65" s="172"/>
      <c r="FI65" s="172"/>
      <c r="FN65" s="172"/>
      <c r="FS65" s="172"/>
      <c r="FX65" s="172"/>
      <c r="GC65" s="172"/>
      <c r="GH65" s="172"/>
      <c r="GM65" s="172"/>
      <c r="GR65" s="172"/>
      <c r="GW65" s="172"/>
      <c r="HB65" s="172"/>
      <c r="HG65" s="172"/>
      <c r="HL65" s="172"/>
      <c r="HQ65" s="172"/>
      <c r="HV65" s="172"/>
      <c r="IA65" s="172"/>
      <c r="IF65" s="172"/>
      <c r="IK65" s="172"/>
      <c r="IP65" s="172"/>
      <c r="IU65" s="172"/>
      <c r="IZ65" s="172"/>
      <c r="JE65" s="172"/>
      <c r="JJ65" s="172"/>
      <c r="JO65" s="172"/>
      <c r="JT65" s="172"/>
      <c r="JY65" s="172"/>
      <c r="KD65" s="172"/>
      <c r="KI65" s="172"/>
      <c r="KN65" s="172"/>
      <c r="KS65" s="172"/>
      <c r="KX65" s="172"/>
      <c r="LC65" s="172"/>
      <c r="LH65" s="172"/>
      <c r="LM65" s="172"/>
      <c r="LR65" s="172"/>
      <c r="LW65" s="172"/>
      <c r="MB65" s="172"/>
      <c r="MG65" s="172"/>
      <c r="ML65" s="172"/>
      <c r="MQ65" s="172"/>
      <c r="MV65" s="172"/>
      <c r="NA65" s="172"/>
      <c r="NF65" s="172"/>
      <c r="NK65" s="172"/>
      <c r="NP65" s="172"/>
      <c r="NU65" s="172"/>
      <c r="NZ65" s="172"/>
      <c r="OE65" s="172"/>
      <c r="OJ65" s="172"/>
      <c r="OO65" s="172"/>
      <c r="OT65" s="172"/>
      <c r="OY65" s="172"/>
      <c r="PD65" s="172"/>
      <c r="PI65" s="172"/>
      <c r="PN65" s="172"/>
      <c r="PS65" s="172"/>
      <c r="PX65" s="172"/>
      <c r="QC65" s="172"/>
      <c r="QH65" s="172"/>
      <c r="QM65" s="172"/>
      <c r="QR65" s="172"/>
      <c r="QW65" s="172"/>
      <c r="RB65" s="172"/>
      <c r="RG65" s="172"/>
      <c r="RL65" s="172"/>
      <c r="RQ65" s="172"/>
      <c r="RV65" s="172"/>
      <c r="SA65" s="172"/>
      <c r="SF65" s="172"/>
      <c r="SK65" s="172"/>
      <c r="SP65" s="172"/>
      <c r="SU65" s="172"/>
      <c r="SZ65" s="172"/>
      <c r="TE65" s="172"/>
      <c r="TJ65" s="172"/>
      <c r="TO65" s="172"/>
      <c r="TT65" s="172"/>
      <c r="TY65" s="172"/>
      <c r="UD65" s="172"/>
      <c r="UI65" s="172"/>
      <c r="UN65" s="172"/>
      <c r="US65" s="172"/>
      <c r="UX65" s="172"/>
      <c r="VC65" s="172"/>
      <c r="VH65" s="172"/>
      <c r="VM65" s="172"/>
      <c r="VR65" s="172"/>
      <c r="VW65" s="172"/>
      <c r="WB65" s="172"/>
      <c r="WG65" s="172"/>
      <c r="WL65" s="172"/>
      <c r="WQ65" s="172"/>
      <c r="WV65" s="172"/>
      <c r="XA65" s="172"/>
      <c r="XF65" s="172"/>
      <c r="XK65" s="172"/>
      <c r="XP65" s="172"/>
      <c r="XU65" s="172"/>
      <c r="XZ65" s="172"/>
      <c r="YE65" s="172"/>
      <c r="YJ65" s="172"/>
      <c r="YO65" s="172"/>
      <c r="YT65" s="172"/>
      <c r="YY65" s="172"/>
      <c r="ZD65" s="172"/>
      <c r="ZI65" s="172"/>
      <c r="ZN65" s="172"/>
      <c r="ZS65" s="172"/>
      <c r="ZX65" s="172"/>
      <c r="AAC65" s="172"/>
      <c r="AAH65" s="172"/>
      <c r="AAM65" s="172"/>
      <c r="AAR65" s="172"/>
      <c r="AAW65" s="172"/>
      <c r="ABB65" s="172"/>
      <c r="ABG65" s="172"/>
      <c r="ABL65" s="172"/>
      <c r="ABQ65" s="172"/>
      <c r="ABV65" s="172"/>
      <c r="ACA65" s="172"/>
      <c r="ACF65" s="172"/>
      <c r="ACK65" s="172"/>
      <c r="ACP65" s="172"/>
      <c r="ACU65" s="172"/>
      <c r="ACZ65" s="172"/>
      <c r="ADE65" s="172"/>
      <c r="ADJ65" s="172"/>
      <c r="ADO65" s="172"/>
      <c r="ADT65" s="172"/>
      <c r="ADY65" s="172"/>
      <c r="AED65" s="172"/>
      <c r="AEI65" s="172"/>
      <c r="AEN65" s="172"/>
      <c r="AES65" s="172"/>
      <c r="AEX65" s="172"/>
      <c r="AFC65" s="172"/>
      <c r="AFH65" s="172"/>
      <c r="AFM65" s="172"/>
      <c r="AFR65" s="172"/>
      <c r="AFW65" s="172"/>
      <c r="AGB65" s="172"/>
      <c r="AGG65" s="172"/>
      <c r="AGL65" s="172"/>
      <c r="AGQ65" s="172"/>
      <c r="AGV65" s="172"/>
      <c r="AHA65" s="172"/>
      <c r="AHF65" s="172"/>
      <c r="AHK65" s="172"/>
      <c r="AHP65" s="172"/>
      <c r="AHU65" s="172"/>
      <c r="AHZ65" s="172"/>
      <c r="AIE65" s="172"/>
      <c r="AIJ65" s="172"/>
      <c r="AIO65" s="172"/>
      <c r="AIT65" s="172"/>
      <c r="AIY65" s="172"/>
      <c r="AJD65" s="172"/>
      <c r="AJI65" s="172"/>
      <c r="AJN65" s="172"/>
      <c r="AJS65" s="172"/>
      <c r="AJX65" s="172"/>
      <c r="AKC65" s="172"/>
      <c r="AKH65" s="172"/>
      <c r="AKM65" s="172"/>
      <c r="AKR65" s="172"/>
      <c r="AKW65" s="172"/>
      <c r="ALB65" s="172"/>
      <c r="ALG65" s="172"/>
      <c r="ALL65" s="172"/>
      <c r="ALQ65" s="172"/>
      <c r="ALV65" s="172"/>
      <c r="AMA65" s="172"/>
      <c r="AMF65" s="172"/>
    </row>
    <row r="66" customFormat="false" ht="15" hidden="false" customHeight="false" outlineLevel="0" collapsed="false">
      <c r="A66" s="254"/>
      <c r="B66" s="254"/>
      <c r="C66" s="254"/>
      <c r="D66" s="254"/>
      <c r="E66" s="254"/>
    </row>
    <row r="67" customFormat="false" ht="15.75" hidden="false" customHeight="false" outlineLevel="0" collapsed="false">
      <c r="B67" s="173" t="s">
        <v>93</v>
      </c>
      <c r="C67" s="255"/>
      <c r="D67" s="255"/>
      <c r="E67" s="255"/>
    </row>
    <row r="68" customFormat="false" ht="15.75" hidden="false" customHeight="false" outlineLevel="0" collapsed="false">
      <c r="A68" s="205"/>
      <c r="B68" s="181" t="s">
        <v>159</v>
      </c>
      <c r="C68" s="175" t="s">
        <v>27</v>
      </c>
      <c r="D68" s="231" t="s">
        <v>160</v>
      </c>
      <c r="E68" s="231" t="s">
        <v>161</v>
      </c>
    </row>
    <row r="69" customFormat="false" ht="15.75" hidden="false" customHeight="false" outlineLevel="0" collapsed="false">
      <c r="A69" s="209" t="s">
        <v>3</v>
      </c>
      <c r="B69" s="187" t="s">
        <v>228</v>
      </c>
      <c r="C69" s="196" t="n">
        <f aca="false">1/12</f>
        <v>0.0833333333333333</v>
      </c>
      <c r="D69" s="197"/>
      <c r="E69" s="244" t="s">
        <v>229</v>
      </c>
      <c r="G69" s="256"/>
    </row>
    <row r="70" customFormat="false" ht="15.75" hidden="false" customHeight="false" outlineLevel="0" collapsed="false">
      <c r="A70" s="209" t="s">
        <v>5</v>
      </c>
      <c r="B70" s="187" t="s">
        <v>95</v>
      </c>
      <c r="C70" s="196" t="n">
        <f aca="false">C69*C30</f>
        <v>0.0331666666666667</v>
      </c>
      <c r="D70" s="197"/>
      <c r="E70" s="195"/>
    </row>
    <row r="71" customFormat="false" ht="17.25" hidden="false" customHeight="false" outlineLevel="0" collapsed="false">
      <c r="A71" s="209" t="s">
        <v>8</v>
      </c>
      <c r="B71" s="187" t="s">
        <v>230</v>
      </c>
      <c r="C71" s="196" t="n">
        <f aca="false">(1/30)/12</f>
        <v>0.00277777777777778</v>
      </c>
      <c r="D71" s="257" t="s">
        <v>231</v>
      </c>
      <c r="E71" s="195" t="s">
        <v>232</v>
      </c>
      <c r="I71" s="242"/>
    </row>
    <row r="72" customFormat="false" ht="75" hidden="false" customHeight="true" outlineLevel="0" collapsed="false">
      <c r="A72" s="209" t="s">
        <v>11</v>
      </c>
      <c r="B72" s="187" t="s">
        <v>233</v>
      </c>
      <c r="C72" s="196" t="n">
        <f aca="false">(((0.1522*2+0.0309*2*(252/365)+0.0123*3+0.02*1+0.004*1+0.0017*6)/30)/12)</f>
        <v>0.00116157610350076</v>
      </c>
      <c r="D72" s="235" t="s">
        <v>234</v>
      </c>
      <c r="E72" s="257" t="s">
        <v>235</v>
      </c>
      <c r="I72" s="242"/>
    </row>
    <row r="73" customFormat="false" ht="17.25" hidden="false" customHeight="false" outlineLevel="0" collapsed="false">
      <c r="A73" s="209" t="s">
        <v>33</v>
      </c>
      <c r="B73" s="187" t="s">
        <v>236</v>
      </c>
      <c r="C73" s="258" t="n">
        <f aca="false">((1*5*(252/365))/30)/12</f>
        <v>0.00958904109589041</v>
      </c>
      <c r="D73" s="257" t="s">
        <v>237</v>
      </c>
      <c r="E73" s="257" t="s">
        <v>238</v>
      </c>
      <c r="I73" s="242"/>
    </row>
    <row r="74" customFormat="false" ht="30.75" hidden="false" customHeight="false" outlineLevel="0" collapsed="false">
      <c r="A74" s="209" t="s">
        <v>35</v>
      </c>
      <c r="B74" s="187" t="s">
        <v>239</v>
      </c>
      <c r="C74" s="196" t="n">
        <f aca="false">((5/30)/12)*0.0137*(252/365)</f>
        <v>0.000131369863013699</v>
      </c>
      <c r="D74" s="257" t="s">
        <v>240</v>
      </c>
      <c r="E74" s="257" t="s">
        <v>241</v>
      </c>
      <c r="I74" s="242"/>
    </row>
    <row r="75" customFormat="false" ht="17.25" hidden="false" customHeight="false" outlineLevel="0" collapsed="false">
      <c r="A75" s="209" t="s">
        <v>37</v>
      </c>
      <c r="B75" s="187" t="s">
        <v>242</v>
      </c>
      <c r="C75" s="196" t="n">
        <f aca="false">((15/30)/12*(0.0922*(252/365)))</f>
        <v>0.00265232876712329</v>
      </c>
      <c r="D75" s="257" t="s">
        <v>243</v>
      </c>
      <c r="E75" s="257" t="s">
        <v>244</v>
      </c>
      <c r="H75" s="256"/>
      <c r="I75" s="242"/>
    </row>
    <row r="76" customFormat="false" ht="45.75" hidden="false" customHeight="false" outlineLevel="0" collapsed="false">
      <c r="A76" s="209" t="s">
        <v>55</v>
      </c>
      <c r="B76" s="187" t="s">
        <v>245</v>
      </c>
      <c r="C76" s="196" t="n">
        <f aca="false">((1+(1/3))*((4/12))/12*(0.0199*(252/365)))</f>
        <v>0.000508858447488585</v>
      </c>
      <c r="D76" s="257" t="s">
        <v>246</v>
      </c>
      <c r="E76" s="244" t="s">
        <v>247</v>
      </c>
    </row>
    <row r="77" customFormat="false" ht="39" hidden="false" customHeight="true" outlineLevel="0" collapsed="false">
      <c r="A77" s="209" t="s">
        <v>102</v>
      </c>
      <c r="B77" s="187" t="s">
        <v>103</v>
      </c>
      <c r="C77" s="196" t="n">
        <f aca="false">SUM(C71:C76)*C30</f>
        <v>0.00669473891780822</v>
      </c>
      <c r="D77" s="195"/>
      <c r="E77" s="244"/>
      <c r="H77" s="259"/>
    </row>
    <row r="78" customFormat="false" ht="15.75" hidden="false" customHeight="false" outlineLevel="0" collapsed="false">
      <c r="A78" s="192"/>
      <c r="B78" s="193" t="s">
        <v>248</v>
      </c>
      <c r="C78" s="199"/>
      <c r="D78" s="249"/>
      <c r="E78" s="249"/>
      <c r="H78" s="259"/>
    </row>
    <row r="79" customFormat="false" ht="15" hidden="false" customHeight="false" outlineLevel="0" collapsed="false">
      <c r="A79" s="260"/>
      <c r="B79" s="261"/>
      <c r="C79" s="261"/>
      <c r="D79" s="261"/>
      <c r="E79" s="261"/>
    </row>
    <row r="80" customFormat="false" ht="66.75" hidden="false" customHeight="true" outlineLevel="0" collapsed="false">
      <c r="A80" s="261"/>
      <c r="B80" s="200" t="s">
        <v>249</v>
      </c>
      <c r="C80" s="200"/>
      <c r="D80" s="200"/>
      <c r="E80" s="200"/>
      <c r="G80" s="262"/>
      <c r="H80" s="236"/>
      <c r="L80" s="263"/>
    </row>
    <row r="81" customFormat="false" ht="76.5" hidden="false" customHeight="true" outlineLevel="0" collapsed="false">
      <c r="A81" s="250"/>
      <c r="B81" s="200" t="s">
        <v>250</v>
      </c>
      <c r="C81" s="200"/>
      <c r="D81" s="200"/>
      <c r="E81" s="200"/>
      <c r="H81" s="236"/>
    </row>
    <row r="82" customFormat="false" ht="48.6" hidden="false" customHeight="true" outlineLevel="0" collapsed="false">
      <c r="A82" s="250"/>
      <c r="B82" s="200" t="s">
        <v>251</v>
      </c>
      <c r="C82" s="200"/>
      <c r="D82" s="200"/>
      <c r="E82" s="200"/>
      <c r="G82" s="236"/>
      <c r="I82" s="264"/>
    </row>
    <row r="83" customFormat="false" ht="83.45" hidden="false" customHeight="true" outlineLevel="0" collapsed="false">
      <c r="A83" s="250"/>
      <c r="B83" s="200" t="s">
        <v>252</v>
      </c>
      <c r="C83" s="200"/>
      <c r="D83" s="200"/>
      <c r="E83" s="200"/>
      <c r="K83" s="265"/>
    </row>
    <row r="84" customFormat="false" ht="68.25" hidden="false" customHeight="true" outlineLevel="0" collapsed="false">
      <c r="A84" s="250"/>
      <c r="B84" s="200" t="s">
        <v>253</v>
      </c>
      <c r="C84" s="200"/>
      <c r="D84" s="200"/>
      <c r="E84" s="200"/>
    </row>
    <row r="85" customFormat="false" ht="90" hidden="false" customHeight="true" outlineLevel="0" collapsed="false">
      <c r="B85" s="200" t="s">
        <v>254</v>
      </c>
      <c r="C85" s="200"/>
      <c r="D85" s="200"/>
      <c r="E85" s="200"/>
      <c r="L85" s="263"/>
    </row>
    <row r="86" customFormat="false" ht="15" hidden="false" customHeight="false" outlineLevel="0" collapsed="false">
      <c r="A86" s="250"/>
      <c r="B86" s="266"/>
      <c r="C86" s="250"/>
      <c r="D86" s="250"/>
      <c r="E86" s="250"/>
    </row>
    <row r="87" customFormat="false" ht="15" hidden="false" customHeight="false" outlineLevel="0" collapsed="false">
      <c r="A87" s="250"/>
      <c r="B87" s="266"/>
      <c r="C87" s="250"/>
      <c r="D87" s="250"/>
      <c r="E87" s="250"/>
      <c r="G87" s="242"/>
    </row>
    <row r="88" customFormat="false" ht="15.75" hidden="false" customHeight="false" outlineLevel="0" collapsed="false">
      <c r="A88" s="267"/>
      <c r="B88" s="173" t="s">
        <v>105</v>
      </c>
      <c r="C88" s="255"/>
      <c r="D88" s="255"/>
      <c r="E88" s="255"/>
      <c r="H88" s="268"/>
    </row>
    <row r="89" customFormat="false" ht="16.15" hidden="false" customHeight="true" outlineLevel="0" collapsed="false">
      <c r="A89" s="205"/>
      <c r="B89" s="181" t="s">
        <v>159</v>
      </c>
      <c r="C89" s="175" t="s">
        <v>27</v>
      </c>
      <c r="D89" s="231" t="s">
        <v>160</v>
      </c>
      <c r="E89" s="231" t="s">
        <v>161</v>
      </c>
    </row>
    <row r="90" customFormat="false" ht="15.75" hidden="false" customHeight="false" outlineLevel="0" collapsed="false">
      <c r="A90" s="209" t="s">
        <v>3</v>
      </c>
      <c r="B90" s="187" t="s">
        <v>106</v>
      </c>
      <c r="C90" s="196" t="s">
        <v>173</v>
      </c>
      <c r="D90" s="197"/>
      <c r="E90" s="195"/>
      <c r="L90" s="263"/>
    </row>
    <row r="91" customFormat="false" ht="15.75" hidden="false" customHeight="false" outlineLevel="0" collapsed="false">
      <c r="A91" s="209" t="s">
        <v>5</v>
      </c>
      <c r="B91" s="187" t="s">
        <v>107</v>
      </c>
      <c r="C91" s="196" t="s">
        <v>173</v>
      </c>
      <c r="D91" s="197"/>
      <c r="E91" s="195"/>
    </row>
    <row r="92" customFormat="false" ht="15.75" hidden="false" customHeight="false" outlineLevel="0" collapsed="false">
      <c r="A92" s="192"/>
      <c r="B92" s="193" t="s">
        <v>255</v>
      </c>
      <c r="C92" s="199" t="s">
        <v>173</v>
      </c>
      <c r="D92" s="249"/>
      <c r="E92" s="249"/>
    </row>
    <row r="93" customFormat="false" ht="15" hidden="false" customHeight="false" outlineLevel="0" collapsed="false">
      <c r="B93" s="173"/>
      <c r="D93" s="250"/>
      <c r="E93" s="250"/>
    </row>
    <row r="94" customFormat="false" ht="15" hidden="false" customHeight="false" outlineLevel="0" collapsed="false">
      <c r="B94" s="173"/>
      <c r="F94" s="208"/>
      <c r="G94" s="208"/>
      <c r="H94" s="208"/>
      <c r="I94" s="208"/>
    </row>
    <row r="95" customFormat="false" ht="15.75" hidden="false" customHeight="false" outlineLevel="0" collapsed="false">
      <c r="B95" s="173" t="s">
        <v>256</v>
      </c>
      <c r="F95" s="212"/>
      <c r="G95" s="212"/>
      <c r="H95" s="212"/>
      <c r="I95" s="213"/>
      <c r="L95" s="263"/>
    </row>
    <row r="96" customFormat="false" ht="15.75" hidden="false" customHeight="true" outlineLevel="0" collapsed="false">
      <c r="A96" s="269"/>
      <c r="B96" s="270" t="s">
        <v>159</v>
      </c>
      <c r="C96" s="271" t="s">
        <v>171</v>
      </c>
      <c r="D96" s="271"/>
      <c r="E96" s="184" t="s">
        <v>161</v>
      </c>
      <c r="F96" s="272"/>
      <c r="G96" s="272"/>
      <c r="H96" s="272"/>
      <c r="I96" s="272"/>
      <c r="J96" s="242"/>
      <c r="K96" s="273"/>
    </row>
    <row r="97" customFormat="false" ht="39.75" hidden="false" customHeight="true" outlineLevel="0" collapsed="false">
      <c r="A97" s="209" t="s">
        <v>3</v>
      </c>
      <c r="B97" s="274" t="s">
        <v>257</v>
      </c>
      <c r="C97" s="275" t="n">
        <v>34.83</v>
      </c>
      <c r="D97" s="276" t="s">
        <v>153</v>
      </c>
      <c r="E97" s="277" t="s">
        <v>258</v>
      </c>
      <c r="F97" s="272"/>
      <c r="G97" s="272"/>
      <c r="H97" s="272"/>
      <c r="I97" s="272"/>
    </row>
    <row r="98" s="250" customFormat="true" ht="56.25" hidden="false" customHeight="true" outlineLevel="0" collapsed="false">
      <c r="A98" s="209"/>
      <c r="B98" s="274"/>
      <c r="C98" s="278" t="n">
        <v>36.42</v>
      </c>
      <c r="D98" s="276" t="s">
        <v>156</v>
      </c>
      <c r="E98" s="277"/>
      <c r="F98" s="279" t="s">
        <v>259</v>
      </c>
      <c r="G98" s="279"/>
      <c r="H98" s="279"/>
      <c r="I98" s="280" t="n">
        <v>356.67</v>
      </c>
    </row>
    <row r="99" customFormat="false" ht="75.6" hidden="false" customHeight="true" outlineLevel="0" collapsed="false">
      <c r="A99" s="232" t="s">
        <v>5</v>
      </c>
      <c r="B99" s="281" t="s">
        <v>118</v>
      </c>
      <c r="C99" s="278" t="n">
        <v>265.41</v>
      </c>
      <c r="D99" s="282" t="s">
        <v>153</v>
      </c>
      <c r="E99" s="283" t="s">
        <v>258</v>
      </c>
      <c r="F99" s="279" t="s">
        <v>260</v>
      </c>
      <c r="G99" s="279"/>
      <c r="H99" s="279"/>
      <c r="I99" s="280" t="n">
        <v>117.66</v>
      </c>
      <c r="J99" s="250"/>
    </row>
    <row r="100" customFormat="false" ht="39.75" hidden="false" customHeight="true" outlineLevel="0" collapsed="false">
      <c r="A100" s="237"/>
      <c r="B100" s="284"/>
      <c r="C100" s="285" t="s">
        <v>261</v>
      </c>
      <c r="D100" s="285"/>
      <c r="E100" s="286"/>
      <c r="L100" s="263"/>
    </row>
    <row r="101" customFormat="false" ht="29.25" hidden="false" customHeight="true" outlineLevel="0" collapsed="false">
      <c r="A101" s="250"/>
      <c r="B101" s="287"/>
      <c r="C101" s="251"/>
    </row>
    <row r="102" customFormat="false" ht="15.75" hidden="false" customHeight="false" outlineLevel="0" collapsed="false">
      <c r="B102" s="288" t="s">
        <v>262</v>
      </c>
      <c r="C102" s="289"/>
      <c r="D102" s="289"/>
      <c r="E102" s="290"/>
    </row>
    <row r="103" customFormat="false" ht="15" hidden="false" customHeight="false" outlineLevel="0" collapsed="false">
      <c r="B103" s="291"/>
      <c r="C103" s="289"/>
      <c r="D103" s="289"/>
      <c r="E103" s="290"/>
    </row>
    <row r="104" customFormat="false" ht="15" hidden="false" customHeight="false" outlineLevel="0" collapsed="false">
      <c r="B104" s="292" t="s">
        <v>263</v>
      </c>
      <c r="C104" s="250"/>
      <c r="D104" s="250"/>
      <c r="E104" s="293"/>
    </row>
    <row r="105" customFormat="false" ht="15" hidden="false" customHeight="false" outlineLevel="0" collapsed="false">
      <c r="B105" s="294"/>
      <c r="C105" s="250"/>
      <c r="D105" s="250"/>
      <c r="E105" s="293"/>
      <c r="L105" s="263"/>
    </row>
    <row r="106" customFormat="false" ht="76.15" hidden="false" customHeight="true" outlineLevel="0" collapsed="false">
      <c r="B106" s="295" t="s">
        <v>264</v>
      </c>
      <c r="C106" s="295"/>
      <c r="D106" s="295"/>
      <c r="E106" s="295"/>
    </row>
    <row r="107" customFormat="false" ht="15" hidden="false" customHeight="false" outlineLevel="0" collapsed="false">
      <c r="B107" s="292"/>
      <c r="C107" s="250"/>
      <c r="D107" s="250"/>
      <c r="E107" s="293"/>
    </row>
    <row r="108" customFormat="false" ht="15" hidden="false" customHeight="false" outlineLevel="0" collapsed="false">
      <c r="B108" s="292" t="s">
        <v>265</v>
      </c>
      <c r="C108" s="250"/>
      <c r="D108" s="250"/>
      <c r="E108" s="293"/>
    </row>
    <row r="109" customFormat="false" ht="41.25" hidden="false" customHeight="true" outlineLevel="0" collapsed="false">
      <c r="B109" s="295" t="s">
        <v>266</v>
      </c>
      <c r="C109" s="295"/>
      <c r="D109" s="295"/>
      <c r="E109" s="295"/>
    </row>
    <row r="110" customFormat="false" ht="28.9" hidden="false" customHeight="true" outlineLevel="0" collapsed="false">
      <c r="B110" s="295" t="s">
        <v>267</v>
      </c>
      <c r="C110" s="295"/>
      <c r="D110" s="295"/>
      <c r="E110" s="295"/>
      <c r="L110" s="263"/>
    </row>
    <row r="111" customFormat="false" ht="25.5" hidden="false" customHeight="true" outlineLevel="0" collapsed="false">
      <c r="B111" s="231" t="s">
        <v>159</v>
      </c>
      <c r="C111" s="181" t="s">
        <v>27</v>
      </c>
      <c r="D111" s="241"/>
      <c r="E111" s="296"/>
    </row>
    <row r="112" customFormat="false" ht="40.5" hidden="false" customHeight="true" outlineLevel="0" collapsed="false">
      <c r="B112" s="297" t="s">
        <v>268</v>
      </c>
      <c r="C112" s="196" t="n">
        <v>0.03</v>
      </c>
      <c r="D112" s="241"/>
      <c r="E112" s="296"/>
    </row>
    <row r="113" customFormat="false" ht="25.5" hidden="false" customHeight="true" outlineLevel="0" collapsed="false">
      <c r="B113" s="297" t="s">
        <v>269</v>
      </c>
      <c r="C113" s="196" t="n">
        <v>0.09</v>
      </c>
      <c r="D113" s="241"/>
      <c r="E113" s="296"/>
    </row>
    <row r="114" customFormat="false" ht="25.5" hidden="false" customHeight="true" outlineLevel="0" collapsed="false">
      <c r="B114" s="297" t="s">
        <v>270</v>
      </c>
      <c r="C114" s="196"/>
      <c r="D114" s="241"/>
      <c r="E114" s="296"/>
    </row>
    <row r="115" customFormat="false" ht="39" hidden="false" customHeight="true" outlineLevel="0" collapsed="false">
      <c r="B115" s="297" t="s">
        <v>127</v>
      </c>
      <c r="C115" s="196" t="n">
        <f aca="false">0.0165+0.076</f>
        <v>0.0925</v>
      </c>
      <c r="D115" s="241"/>
      <c r="E115" s="296"/>
      <c r="L115" s="263"/>
    </row>
    <row r="116" customFormat="false" ht="25.5" hidden="false" customHeight="true" outlineLevel="0" collapsed="false">
      <c r="B116" s="297" t="s">
        <v>271</v>
      </c>
      <c r="C116" s="196"/>
      <c r="D116" s="241"/>
      <c r="E116" s="296"/>
    </row>
    <row r="117" customFormat="false" ht="25.5" hidden="false" customHeight="true" outlineLevel="0" collapsed="false">
      <c r="B117" s="297" t="s">
        <v>129</v>
      </c>
      <c r="C117" s="196" t="n">
        <v>0.05</v>
      </c>
      <c r="D117" s="241"/>
      <c r="E117" s="296"/>
    </row>
    <row r="118" customFormat="false" ht="15" hidden="false" customHeight="false" outlineLevel="0" collapsed="false">
      <c r="B118" s="298"/>
      <c r="C118" s="250"/>
      <c r="D118" s="250"/>
      <c r="E118" s="293"/>
    </row>
    <row r="119" customFormat="false" ht="15" hidden="false" customHeight="false" outlineLevel="0" collapsed="false">
      <c r="B119" s="298" t="s">
        <v>272</v>
      </c>
      <c r="C119" s="250"/>
      <c r="D119" s="250"/>
      <c r="E119" s="293"/>
    </row>
    <row r="120" customFormat="false" ht="29.25" hidden="false" customHeight="false" outlineLevel="0" collapsed="false">
      <c r="B120" s="299" t="s">
        <v>273</v>
      </c>
      <c r="C120" s="300"/>
      <c r="D120" s="300"/>
      <c r="E120" s="301"/>
      <c r="L120" s="263"/>
    </row>
  </sheetData>
  <mergeCells count="37">
    <mergeCell ref="A2:C2"/>
    <mergeCell ref="A3:B3"/>
    <mergeCell ref="A4:B4"/>
    <mergeCell ref="A7:C7"/>
    <mergeCell ref="A8:B8"/>
    <mergeCell ref="A9:B9"/>
    <mergeCell ref="B31:E31"/>
    <mergeCell ref="B32:E32"/>
    <mergeCell ref="F33:N33"/>
    <mergeCell ref="F34:I34"/>
    <mergeCell ref="K34:N34"/>
    <mergeCell ref="C35:D35"/>
    <mergeCell ref="C36:D36"/>
    <mergeCell ref="C37:D37"/>
    <mergeCell ref="C38:D38"/>
    <mergeCell ref="C39:D39"/>
    <mergeCell ref="C40:D40"/>
    <mergeCell ref="C41:D41"/>
    <mergeCell ref="B51:E51"/>
    <mergeCell ref="B52:E52"/>
    <mergeCell ref="B61:E61"/>
    <mergeCell ref="B62:E62"/>
    <mergeCell ref="B80:E80"/>
    <mergeCell ref="B81:E81"/>
    <mergeCell ref="B82:E82"/>
    <mergeCell ref="B83:E83"/>
    <mergeCell ref="B84:E84"/>
    <mergeCell ref="B85:E85"/>
    <mergeCell ref="C96:D96"/>
    <mergeCell ref="A97:A98"/>
    <mergeCell ref="B97:B98"/>
    <mergeCell ref="E97:E98"/>
    <mergeCell ref="F98:H98"/>
    <mergeCell ref="F99:H99"/>
    <mergeCell ref="B106:E106"/>
    <mergeCell ref="B109:E109"/>
    <mergeCell ref="B110:E110"/>
  </mergeCells>
  <hyperlinks>
    <hyperlink ref="E58" r:id="rId2" display="Portaria (Presidência) nº 2845/2019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LibreOffice/5.2.4.2$Windows_x86 LibreOffice_project/3d5603e1122f0f102b62521720ab13a38a4e0eb0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2010-12-08T17:56:29Z</dcterms:created>
  <dc:creator>Patrick</dc:creator>
  <dc:description/>
  <dc:language>pt-BR</dc:language>
  <cp:lastModifiedBy/>
  <cp:lastPrinted>2019-12-11T12:36:55Z</cp:lastPrinted>
  <dcterms:modified xsi:type="dcterms:W3CDTF">2020-02-11T10:35:22Z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